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24226"/>
  <mc:AlternateContent xmlns:mc="http://schemas.openxmlformats.org/markup-compatibility/2006">
    <mc:Choice Requires="x15">
      <x15ac:absPath xmlns:x15ac="http://schemas.microsoft.com/office/spreadsheetml/2010/11/ac" url="F:\MAPAS DE RIESGOS GENERAL\MAPA DE RIESGOS CORRUPCIÓN 2023\CORRUPCION\"/>
    </mc:Choice>
  </mc:AlternateContent>
  <xr:revisionPtr revIDLastSave="0" documentId="13_ncr:1_{F344F19A-C5B7-4F09-83DB-D28FBE3D2425}" xr6:coauthVersionLast="47" xr6:coauthVersionMax="47" xr10:uidLastSave="{00000000-0000-0000-0000-000000000000}"/>
  <bookViews>
    <workbookView xWindow="-120" yWindow="-120" windowWidth="24240" windowHeight="13140" tabRatio="882" firstSheet="2" activeTab="2" xr2:uid="{00000000-000D-0000-FFFF-FFFF00000000}"/>
  </bookViews>
  <sheets>
    <sheet name="Hoja2" sheetId="25" r:id="rId1"/>
    <sheet name="Intructivo" sheetId="20" r:id="rId2"/>
    <sheet name="Mapa final" sheetId="1" r:id="rId3"/>
    <sheet name="Matriz Calor Inherente" sheetId="18" r:id="rId4"/>
    <sheet name="Matriz Calor Residual" sheetId="19" r:id="rId5"/>
    <sheet name="Tabla probabilidad" sheetId="12" r:id="rId6"/>
    <sheet name="Tabla Impacto" sheetId="23" r:id="rId7"/>
    <sheet name="Tabla Valoración controles" sheetId="15" r:id="rId8"/>
    <sheet name="CONTROL DE CAMBIOS" sheetId="21" r:id="rId9"/>
    <sheet name="Opciones Tratamiento" sheetId="16" state="hidden" r:id="rId10"/>
    <sheet name="Hoja1" sheetId="11"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calcPr calcId="181029"/>
</workbook>
</file>

<file path=xl/calcChain.xml><?xml version="1.0" encoding="utf-8"?>
<calcChain xmlns="http://schemas.openxmlformats.org/spreadsheetml/2006/main">
  <c r="M38" i="1" l="1"/>
  <c r="N38" i="1" s="1"/>
  <c r="X39" i="1"/>
  <c r="U39" i="1"/>
  <c r="X38" i="1"/>
  <c r="U38" i="1"/>
  <c r="K38" i="1"/>
  <c r="O38" i="1" l="1"/>
  <c r="Q38" i="1" s="1"/>
  <c r="AG38" i="1" s="1"/>
  <c r="AF38" i="1" s="1"/>
  <c r="P38" i="1"/>
  <c r="L38" i="1"/>
  <c r="AC38" i="1" s="1"/>
  <c r="R38" i="1" l="1"/>
  <c r="AE38" i="1"/>
  <c r="AC39" i="1" s="1"/>
  <c r="AD38" i="1"/>
  <c r="AH38" i="1" s="1"/>
  <c r="AG39" i="1"/>
  <c r="AF39" i="1" s="1"/>
  <c r="AD39" i="1" l="1"/>
  <c r="AE39" i="1"/>
  <c r="AH39" i="1" l="1"/>
  <c r="AI38" i="1"/>
  <c r="M37" i="1" l="1"/>
  <c r="N37" i="1"/>
  <c r="O37" i="1"/>
  <c r="P37" i="1"/>
  <c r="Q37" i="1"/>
  <c r="R37" i="1"/>
  <c r="X37" i="1"/>
  <c r="U37" i="1"/>
  <c r="K37" i="1"/>
  <c r="L37" i="1" l="1"/>
  <c r="AC37" i="1" s="1"/>
  <c r="AG37" i="1"/>
  <c r="AF37" i="1" s="1"/>
  <c r="AD37" i="1" l="1"/>
  <c r="AH37" i="1" s="1"/>
  <c r="AI37" i="1" s="1"/>
  <c r="AE37" i="1"/>
  <c r="M35" i="1" l="1"/>
  <c r="N35" i="1"/>
  <c r="O35" i="1"/>
  <c r="P35" i="1"/>
  <c r="Q35" i="1"/>
  <c r="R35" i="1"/>
  <c r="X36" i="1"/>
  <c r="U36" i="1"/>
  <c r="X35" i="1"/>
  <c r="U35" i="1"/>
  <c r="J35" i="1"/>
  <c r="K35" i="1" s="1"/>
  <c r="L35" i="1" s="1"/>
  <c r="AC35" i="1" l="1"/>
  <c r="AG35" i="1"/>
  <c r="AF35" i="1" s="1"/>
  <c r="AE35" i="1"/>
  <c r="AC36" i="1" s="1"/>
  <c r="AD35" i="1"/>
  <c r="AG36" i="1" l="1"/>
  <c r="AF36" i="1" s="1"/>
  <c r="AH35" i="1"/>
  <c r="AD36" i="1"/>
  <c r="AE36" i="1"/>
  <c r="AH36" i="1" l="1"/>
  <c r="AI35" i="1"/>
  <c r="M32" i="1" l="1"/>
  <c r="N32" i="1"/>
  <c r="O32" i="1"/>
  <c r="P32" i="1"/>
  <c r="Q32" i="1"/>
  <c r="R32" i="1"/>
  <c r="M33" i="1"/>
  <c r="N33" i="1"/>
  <c r="O33" i="1"/>
  <c r="P33" i="1"/>
  <c r="Q33" i="1"/>
  <c r="R33" i="1"/>
  <c r="X34" i="1"/>
  <c r="U34" i="1"/>
  <c r="X33" i="1"/>
  <c r="U33" i="1"/>
  <c r="K33" i="1"/>
  <c r="L33" i="1" s="1"/>
  <c r="X32" i="1"/>
  <c r="U32" i="1"/>
  <c r="J32" i="1"/>
  <c r="K32" i="1" s="1"/>
  <c r="L32" i="1" s="1"/>
  <c r="AC32" i="1" l="1"/>
  <c r="AE32" i="1" s="1"/>
  <c r="AC33" i="1"/>
  <c r="AD33" i="1" s="1"/>
  <c r="AG33" i="1"/>
  <c r="AF33" i="1" s="1"/>
  <c r="AD32" i="1" l="1"/>
  <c r="AG34" i="1"/>
  <c r="AF34" i="1" s="1"/>
  <c r="AE33" i="1"/>
  <c r="AC34" i="1" s="1"/>
  <c r="AD34" i="1" s="1"/>
  <c r="AH33" i="1"/>
  <c r="AI33" i="1" s="1"/>
  <c r="AG32" i="1"/>
  <c r="AF32" i="1" s="1"/>
  <c r="AH32" i="1" l="1"/>
  <c r="AI32" i="1" s="1"/>
  <c r="AH34" i="1"/>
  <c r="AE34" i="1"/>
  <c r="M30" i="1"/>
  <c r="N30" i="1"/>
  <c r="O30" i="1"/>
  <c r="P30" i="1"/>
  <c r="Q30" i="1"/>
  <c r="R30" i="1"/>
  <c r="X31" i="1"/>
  <c r="U31" i="1"/>
  <c r="X30" i="1"/>
  <c r="U30" i="1"/>
  <c r="K30" i="1"/>
  <c r="L30" i="1" s="1"/>
  <c r="AC30" i="1" l="1"/>
  <c r="AE30" i="1" s="1"/>
  <c r="AC31" i="1" s="1"/>
  <c r="AD30" i="1" l="1"/>
  <c r="AG30" i="1"/>
  <c r="AD31" i="1"/>
  <c r="AE31" i="1"/>
  <c r="AF30" i="1" l="1"/>
  <c r="AH30" i="1" s="1"/>
  <c r="AG31" i="1"/>
  <c r="AF31" i="1" s="1"/>
  <c r="AH31" i="1" s="1"/>
  <c r="AI30" i="1" l="1"/>
  <c r="M27" i="1" l="1"/>
  <c r="O27" i="1" s="1"/>
  <c r="Q27" i="1" s="1"/>
  <c r="X29" i="1"/>
  <c r="U29" i="1"/>
  <c r="X28" i="1"/>
  <c r="U28" i="1"/>
  <c r="X27" i="1"/>
  <c r="U27" i="1"/>
  <c r="K27" i="1"/>
  <c r="L27" i="1" s="1"/>
  <c r="AC27" i="1" l="1"/>
  <c r="AE27" i="1" s="1"/>
  <c r="AC28" i="1" s="1"/>
  <c r="AG27" i="1"/>
  <c r="AF27" i="1" s="1"/>
  <c r="R27" i="1"/>
  <c r="N27" i="1"/>
  <c r="P27" i="1"/>
  <c r="AD27" i="1" l="1"/>
  <c r="AH27" i="1" s="1"/>
  <c r="AG28" i="1"/>
  <c r="AF28" i="1" s="1"/>
  <c r="AD28" i="1"/>
  <c r="AE28" i="1"/>
  <c r="AC29" i="1" s="1"/>
  <c r="AG29" i="1" l="1"/>
  <c r="AF29" i="1" s="1"/>
  <c r="AH28" i="1"/>
  <c r="AD29" i="1"/>
  <c r="AE29" i="1"/>
  <c r="AH29" i="1" l="1"/>
  <c r="AI27" i="1"/>
  <c r="L25" i="1" l="1"/>
  <c r="M25" i="1"/>
  <c r="N25" i="1"/>
  <c r="O25" i="1"/>
  <c r="P25" i="1"/>
  <c r="Q25" i="1"/>
  <c r="R25" i="1"/>
  <c r="X26" i="1"/>
  <c r="U26" i="1"/>
  <c r="X25" i="1"/>
  <c r="U25" i="1"/>
  <c r="K25" i="1"/>
  <c r="AC25" i="1" l="1"/>
  <c r="AG25" i="1" l="1"/>
  <c r="AF25" i="1" s="1"/>
  <c r="AG26" i="1"/>
  <c r="AF26" i="1" s="1"/>
  <c r="AD25" i="1"/>
  <c r="AE25" i="1"/>
  <c r="AC26" i="1" s="1"/>
  <c r="AH25" i="1" l="1"/>
  <c r="AD26" i="1"/>
  <c r="AE26" i="1"/>
  <c r="AH26" i="1" l="1"/>
  <c r="AI25" i="1"/>
  <c r="C24" i="1" l="1"/>
  <c r="D24" i="1"/>
  <c r="E24" i="1"/>
  <c r="F24" i="1"/>
  <c r="G24" i="1"/>
  <c r="H24" i="1"/>
  <c r="J24" i="1"/>
  <c r="K24" i="1"/>
  <c r="L24" i="1"/>
  <c r="M24" i="1"/>
  <c r="N24" i="1"/>
  <c r="O24" i="1"/>
  <c r="P24" i="1"/>
  <c r="Q24" i="1"/>
  <c r="R24" i="1"/>
  <c r="S24" i="1"/>
  <c r="T24" i="1"/>
  <c r="U24" i="1"/>
  <c r="V24" i="1"/>
  <c r="W24" i="1"/>
  <c r="X24" i="1"/>
  <c r="Y24" i="1"/>
  <c r="Z24" i="1"/>
  <c r="AA24" i="1"/>
  <c r="AB24" i="1"/>
  <c r="AC24" i="1"/>
  <c r="AD24" i="1"/>
  <c r="AE24" i="1"/>
  <c r="AF24" i="1"/>
  <c r="AG24" i="1"/>
  <c r="AH24" i="1"/>
  <c r="AI24" i="1" s="1"/>
  <c r="AJ24" i="1"/>
  <c r="AK24" i="1"/>
  <c r="AL24" i="1"/>
  <c r="AM24" i="1"/>
  <c r="AN24" i="1"/>
  <c r="AO24" i="1"/>
  <c r="AP24" i="1"/>
  <c r="L21" i="1" l="1"/>
  <c r="M21" i="1"/>
  <c r="O21" i="1"/>
  <c r="Q21" i="1"/>
  <c r="R21" i="1"/>
  <c r="L20" i="1"/>
  <c r="M20" i="1"/>
  <c r="O20" i="1"/>
  <c r="Q20" i="1"/>
  <c r="R20" i="1"/>
  <c r="L19" i="1"/>
  <c r="M19" i="1"/>
  <c r="N19" i="1"/>
  <c r="O19" i="1"/>
  <c r="P19" i="1"/>
  <c r="Q19" i="1"/>
  <c r="R19" i="1"/>
  <c r="S19" i="1" l="1"/>
  <c r="C22" i="1" l="1"/>
  <c r="D22" i="1"/>
  <c r="E22" i="1"/>
  <c r="F22" i="1"/>
  <c r="G22" i="1"/>
  <c r="H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S23" i="1"/>
  <c r="T23" i="1"/>
  <c r="U23" i="1"/>
  <c r="V23" i="1"/>
  <c r="W23" i="1"/>
  <c r="X23" i="1"/>
  <c r="Y23" i="1"/>
  <c r="Z23" i="1"/>
  <c r="AA23" i="1"/>
  <c r="AB23" i="1"/>
  <c r="AC23" i="1"/>
  <c r="AD23" i="1"/>
  <c r="AE23" i="1"/>
  <c r="AF23" i="1"/>
  <c r="AG23" i="1"/>
  <c r="AH23" i="1"/>
  <c r="X21" i="1" l="1"/>
  <c r="U21" i="1"/>
  <c r="K21" i="1"/>
  <c r="X20" i="1"/>
  <c r="U20" i="1"/>
  <c r="AG20" i="1" s="1"/>
  <c r="AF20" i="1" s="1"/>
  <c r="J20" i="1"/>
  <c r="K20" i="1" s="1"/>
  <c r="X19" i="1"/>
  <c r="U19" i="1"/>
  <c r="K19" i="1"/>
  <c r="AC21" i="1" l="1"/>
  <c r="AD21" i="1" s="1"/>
  <c r="AC20" i="1"/>
  <c r="AG19" i="1"/>
  <c r="AF19" i="1" s="1"/>
  <c r="AC19" i="1"/>
  <c r="AE21" i="1" l="1"/>
  <c r="AG21" i="1"/>
  <c r="AF21" i="1" s="1"/>
  <c r="AH21" i="1" s="1"/>
  <c r="AI21" i="1" s="1"/>
  <c r="AE20" i="1"/>
  <c r="AD20" i="1"/>
  <c r="AH20" i="1" s="1"/>
  <c r="AI20" i="1" s="1"/>
  <c r="AD19" i="1"/>
  <c r="AH19" i="1" s="1"/>
  <c r="AI19" i="1" s="1"/>
  <c r="AE19" i="1"/>
  <c r="C18" i="1" l="1"/>
  <c r="D18" i="1"/>
  <c r="E18" i="1"/>
  <c r="F18" i="1"/>
  <c r="G18" i="1"/>
  <c r="H18" i="1"/>
  <c r="J18" i="1"/>
  <c r="K18" i="1"/>
  <c r="L18" i="1"/>
  <c r="M18" i="1"/>
  <c r="N18" i="1"/>
  <c r="O18" i="1"/>
  <c r="P18" i="1"/>
  <c r="Q18" i="1"/>
  <c r="R18" i="1"/>
  <c r="S18" i="1"/>
  <c r="T18" i="1"/>
  <c r="U18" i="1"/>
  <c r="V18" i="1"/>
  <c r="W18" i="1"/>
  <c r="X18" i="1"/>
  <c r="Y18" i="1"/>
  <c r="Z18" i="1"/>
  <c r="AA18" i="1"/>
  <c r="AB18" i="1"/>
  <c r="AC18" i="1"/>
  <c r="AD18" i="1"/>
  <c r="AE18" i="1"/>
  <c r="AF18" i="1"/>
  <c r="AG18" i="1"/>
  <c r="AH18" i="1"/>
  <c r="AJ18" i="1"/>
  <c r="AK18" i="1"/>
  <c r="AL18" i="1"/>
  <c r="AM18" i="1"/>
  <c r="AN18" i="1"/>
  <c r="AO18" i="1"/>
  <c r="AP18" i="1"/>
  <c r="L12" i="1" l="1"/>
  <c r="M12" i="1"/>
  <c r="O12" i="1"/>
  <c r="P12" i="1"/>
  <c r="Q12" i="1"/>
  <c r="R12" i="1"/>
  <c r="L17" i="1" l="1"/>
  <c r="M17" i="1"/>
  <c r="O17" i="1"/>
  <c r="P17" i="1"/>
  <c r="Q17" i="1"/>
  <c r="R17" i="1"/>
  <c r="M15" i="1"/>
  <c r="O11" i="1" l="1"/>
  <c r="P11" i="1"/>
  <c r="Q11" i="1"/>
  <c r="R11" i="1"/>
  <c r="X17" i="1" l="1"/>
  <c r="U17" i="1"/>
  <c r="K17" i="1"/>
  <c r="X16" i="1"/>
  <c r="U16" i="1"/>
  <c r="X15" i="1"/>
  <c r="U15" i="1"/>
  <c r="O15" i="1"/>
  <c r="Q15" i="1" s="1"/>
  <c r="K15" i="1"/>
  <c r="L15" i="1" s="1"/>
  <c r="AC15" i="1" l="1"/>
  <c r="AE15" i="1" s="1"/>
  <c r="AC16" i="1" s="1"/>
  <c r="AC17" i="1"/>
  <c r="AD17" i="1" s="1"/>
  <c r="AG15" i="1"/>
  <c r="AF15" i="1" s="1"/>
  <c r="AG17" i="1"/>
  <c r="AF17" i="1" s="1"/>
  <c r="P15" i="1"/>
  <c r="R15" i="1"/>
  <c r="N15" i="1"/>
  <c r="AD15" i="1" l="1"/>
  <c r="AE17" i="1"/>
  <c r="AG16" i="1"/>
  <c r="AF16" i="1" s="1"/>
  <c r="AH17" i="1"/>
  <c r="AD16" i="1"/>
  <c r="AE16" i="1"/>
  <c r="AI15" i="1"/>
  <c r="AH15" i="1"/>
  <c r="AI18" i="1" l="1"/>
  <c r="AI17" i="1"/>
  <c r="AH16" i="1"/>
  <c r="X14" i="1" l="1"/>
  <c r="U14" i="1"/>
  <c r="X13" i="1"/>
  <c r="U13" i="1"/>
  <c r="X12" i="1"/>
  <c r="U12" i="1"/>
  <c r="K12" i="1"/>
  <c r="AG12" i="1" l="1"/>
  <c r="AC12" i="1"/>
  <c r="AE12" i="1" l="1"/>
  <c r="AC13" i="1" s="1"/>
  <c r="AD12" i="1"/>
  <c r="AF12" i="1"/>
  <c r="AG13" i="1"/>
  <c r="AF13" i="1" l="1"/>
  <c r="AG14" i="1"/>
  <c r="AF14" i="1" s="1"/>
  <c r="AH12" i="1"/>
  <c r="AI12" i="1"/>
  <c r="AE13" i="1"/>
  <c r="AD13" i="1"/>
  <c r="AH13" i="1" s="1"/>
  <c r="AC14" i="1" l="1"/>
  <c r="AI13" i="1"/>
  <c r="AE14" i="1" l="1"/>
  <c r="AI14" i="1" s="1"/>
  <c r="AD14" i="1"/>
  <c r="AH14" i="1" s="1"/>
  <c r="X11" i="1" l="1"/>
  <c r="U11" i="1"/>
  <c r="M11" i="1"/>
  <c r="K11" i="1"/>
  <c r="L11" i="1" l="1"/>
  <c r="AC11" i="1" s="1"/>
  <c r="AG11" i="1"/>
  <c r="AF11" i="1" l="1"/>
  <c r="AD11" i="1"/>
  <c r="AE11" i="1"/>
  <c r="AH11" i="1" l="1"/>
  <c r="AI11" i="1" s="1"/>
  <c r="V25" i="19"/>
  <c r="U25" i="19"/>
  <c r="T25" i="19"/>
  <c r="V22" i="19"/>
  <c r="T21" i="19"/>
  <c r="S25" i="19"/>
  <c r="R25" i="19"/>
  <c r="Q25" i="19"/>
  <c r="S22" i="19"/>
  <c r="P25" i="19"/>
  <c r="O25" i="19"/>
  <c r="N25" i="19"/>
  <c r="P22" i="19"/>
  <c r="M25" i="19"/>
  <c r="L25" i="19"/>
  <c r="K25" i="19"/>
  <c r="M22" i="19"/>
  <c r="J25" i="19"/>
  <c r="I25" i="19"/>
  <c r="H25" i="19"/>
  <c r="J22" i="19"/>
  <c r="V21" i="19"/>
  <c r="U21" i="19"/>
  <c r="V18" i="19"/>
  <c r="S21" i="19"/>
  <c r="R21" i="19"/>
  <c r="Q21" i="19"/>
  <c r="S18" i="19"/>
  <c r="P21" i="19"/>
  <c r="O21" i="19"/>
  <c r="N21" i="19"/>
  <c r="P18" i="19"/>
  <c r="M21" i="19"/>
  <c r="L21" i="19"/>
  <c r="K21" i="19"/>
  <c r="M18" i="19"/>
  <c r="J21" i="19"/>
  <c r="I21" i="19"/>
  <c r="H21" i="19"/>
  <c r="J18" i="19"/>
  <c r="V17" i="19"/>
  <c r="U17" i="19"/>
  <c r="T17" i="19"/>
  <c r="V14" i="19"/>
  <c r="S17" i="19"/>
  <c r="R17" i="19"/>
  <c r="Q17" i="19"/>
  <c r="S14" i="19"/>
  <c r="P17" i="19"/>
  <c r="O17" i="19"/>
  <c r="N17" i="19"/>
  <c r="P14" i="19"/>
  <c r="M17" i="19"/>
  <c r="L17" i="19"/>
  <c r="K17" i="19"/>
  <c r="H17" i="19"/>
  <c r="I17" i="19"/>
  <c r="J17" i="19"/>
  <c r="V13" i="19"/>
  <c r="U13" i="19"/>
  <c r="T13" i="19"/>
  <c r="S13" i="19"/>
  <c r="R13" i="19"/>
  <c r="Q13" i="19"/>
  <c r="P13" i="19"/>
  <c r="O13" i="19"/>
  <c r="N13" i="19"/>
  <c r="M13" i="19"/>
  <c r="L13" i="19"/>
  <c r="K13" i="19"/>
  <c r="J13" i="19"/>
  <c r="I13" i="19"/>
  <c r="H13" i="19"/>
  <c r="V9" i="19"/>
  <c r="U9" i="19"/>
  <c r="T9" i="19"/>
  <c r="S9" i="19"/>
  <c r="R9" i="19"/>
  <c r="Q9" i="19"/>
  <c r="P9" i="19"/>
  <c r="O9" i="19"/>
  <c r="N9" i="19"/>
  <c r="M9" i="19"/>
  <c r="L9" i="19"/>
  <c r="K9" i="19"/>
  <c r="J9" i="19"/>
  <c r="I9" i="19"/>
  <c r="H9" i="19"/>
  <c r="M14" i="19"/>
  <c r="J14" i="19"/>
  <c r="V10" i="19"/>
  <c r="S10" i="19"/>
  <c r="P10" i="19"/>
  <c r="M10" i="19"/>
  <c r="J10" i="19"/>
  <c r="V6" i="19"/>
  <c r="S6" i="19"/>
  <c r="P6" i="19"/>
  <c r="M6" i="19"/>
  <c r="J6" i="19"/>
  <c r="X10" i="1" l="1"/>
  <c r="U10" i="1"/>
  <c r="S24" i="19" l="1"/>
  <c r="P24" i="19"/>
  <c r="M24" i="19"/>
  <c r="J24" i="19"/>
  <c r="M16" i="19"/>
  <c r="V12" i="19"/>
  <c r="P12" i="19"/>
  <c r="J12" i="19"/>
  <c r="P8" i="19"/>
  <c r="V24" i="19"/>
  <c r="S20" i="19"/>
  <c r="M20" i="19"/>
  <c r="V16" i="19"/>
  <c r="P16" i="19"/>
  <c r="V20" i="19"/>
  <c r="P20" i="19"/>
  <c r="J20" i="19"/>
  <c r="S16" i="19"/>
  <c r="J16" i="19"/>
  <c r="S12" i="19"/>
  <c r="M12" i="19"/>
  <c r="V8" i="19"/>
  <c r="S8" i="19"/>
  <c r="M8" i="19"/>
  <c r="J8" i="19"/>
  <c r="J24" i="23"/>
  <c r="K24" i="23"/>
  <c r="L24" i="23"/>
  <c r="M24" i="23"/>
  <c r="N24" i="23"/>
  <c r="O24" i="23"/>
  <c r="P24" i="23"/>
  <c r="Q24" i="23"/>
  <c r="R24" i="23"/>
  <c r="U24" i="19" l="1"/>
  <c r="U20" i="19"/>
  <c r="R20" i="19"/>
  <c r="O20" i="19"/>
  <c r="L20" i="19"/>
  <c r="I20" i="19"/>
  <c r="U16" i="19"/>
  <c r="R16" i="19"/>
  <c r="O16" i="19"/>
  <c r="I16" i="19"/>
  <c r="R12" i="19"/>
  <c r="L12" i="19"/>
  <c r="U8" i="19"/>
  <c r="R8" i="19"/>
  <c r="L8" i="19"/>
  <c r="R24" i="19"/>
  <c r="O24" i="19"/>
  <c r="L24" i="19"/>
  <c r="I24" i="19"/>
  <c r="L16" i="19"/>
  <c r="U12" i="19"/>
  <c r="O12" i="19"/>
  <c r="I12" i="19"/>
  <c r="O8" i="19"/>
  <c r="V23" i="19"/>
  <c r="Q24" i="19"/>
  <c r="N24" i="19"/>
  <c r="K24" i="19"/>
  <c r="H24" i="19"/>
  <c r="V19" i="19"/>
  <c r="S19" i="19"/>
  <c r="P19" i="19"/>
  <c r="M19" i="19"/>
  <c r="J19" i="19"/>
  <c r="V15" i="19"/>
  <c r="S15" i="19"/>
  <c r="P15" i="19"/>
  <c r="T8" i="19"/>
  <c r="K16" i="19"/>
  <c r="J15" i="19"/>
  <c r="T12" i="19"/>
  <c r="S11" i="19"/>
  <c r="N12" i="19"/>
  <c r="M11" i="19"/>
  <c r="H12" i="19"/>
  <c r="S7" i="19"/>
  <c r="N8" i="19"/>
  <c r="M7" i="19"/>
  <c r="T24" i="19"/>
  <c r="S23" i="19"/>
  <c r="P23" i="19"/>
  <c r="M23" i="19"/>
  <c r="J23" i="19"/>
  <c r="T20" i="19"/>
  <c r="N20" i="19"/>
  <c r="H20" i="19"/>
  <c r="Q16" i="19"/>
  <c r="H8" i="19"/>
  <c r="M15" i="19"/>
  <c r="H16" i="19"/>
  <c r="V11" i="19"/>
  <c r="Q12" i="19"/>
  <c r="P11" i="19"/>
  <c r="K12" i="19"/>
  <c r="J11" i="19"/>
  <c r="V7" i="19"/>
  <c r="Q8" i="19"/>
  <c r="P7" i="19"/>
  <c r="K8" i="19"/>
  <c r="Q20" i="19"/>
  <c r="K20" i="19"/>
  <c r="T16" i="19"/>
  <c r="N16" i="19"/>
  <c r="T23" i="19"/>
  <c r="T19" i="19"/>
  <c r="Q19" i="19"/>
  <c r="N19" i="19"/>
  <c r="K19" i="19"/>
  <c r="H19" i="19"/>
  <c r="T15" i="19"/>
  <c r="Q15" i="19"/>
  <c r="N15" i="19"/>
  <c r="H15" i="19"/>
  <c r="Q11" i="19"/>
  <c r="K11" i="19"/>
  <c r="Q7" i="19"/>
  <c r="K7" i="19"/>
  <c r="Q23" i="19"/>
  <c r="N23" i="19"/>
  <c r="K23" i="19"/>
  <c r="H23" i="19"/>
  <c r="K15" i="19"/>
  <c r="T11" i="19"/>
  <c r="N11" i="19"/>
  <c r="H11" i="19"/>
  <c r="T7" i="19"/>
  <c r="N7" i="19"/>
  <c r="R23" i="19"/>
  <c r="O23" i="19"/>
  <c r="L23" i="19"/>
  <c r="I23" i="19"/>
  <c r="L15" i="19"/>
  <c r="U11" i="19"/>
  <c r="O11" i="19"/>
  <c r="I11" i="19"/>
  <c r="U7" i="19"/>
  <c r="O7" i="19"/>
  <c r="U23" i="19"/>
  <c r="R19" i="19"/>
  <c r="L19" i="19"/>
  <c r="U15" i="19"/>
  <c r="O15" i="19"/>
  <c r="U19" i="19"/>
  <c r="O19" i="19"/>
  <c r="I19" i="19"/>
  <c r="R15" i="19"/>
  <c r="I15" i="19"/>
  <c r="R11" i="19"/>
  <c r="L11" i="19"/>
  <c r="R7" i="19"/>
  <c r="L7" i="19"/>
  <c r="I8" i="19"/>
  <c r="J7" i="19"/>
  <c r="H7" i="19"/>
  <c r="I7" i="19"/>
  <c r="I24" i="23"/>
  <c r="I25" i="23" l="1"/>
  <c r="I26" i="23" s="1"/>
  <c r="M9" i="1" s="1"/>
  <c r="N9" i="1" l="1"/>
  <c r="P9" i="1"/>
  <c r="J8" i="18"/>
  <c r="K9" i="1"/>
  <c r="O9" i="1" l="1"/>
  <c r="Q9" i="1" s="1"/>
  <c r="R9" i="1" l="1"/>
  <c r="X18" i="18"/>
  <c r="X10" i="18"/>
  <c r="P18" i="18"/>
  <c r="P10" i="18"/>
  <c r="L18" i="18"/>
  <c r="L10" i="18"/>
  <c r="T18" i="18"/>
  <c r="T10" i="18"/>
  <c r="H18" i="18"/>
  <c r="H10" i="18"/>
  <c r="X22" i="18"/>
  <c r="X14" i="18"/>
  <c r="X6" i="18"/>
  <c r="P22" i="18"/>
  <c r="P14" i="18"/>
  <c r="P6" i="18"/>
  <c r="L22" i="18"/>
  <c r="L14" i="18"/>
  <c r="L6" i="18"/>
  <c r="T22" i="18"/>
  <c r="T14" i="18"/>
  <c r="T6" i="18"/>
  <c r="H22" i="18"/>
  <c r="H14" i="18"/>
  <c r="H6" i="18"/>
  <c r="Q25" i="23"/>
  <c r="Q26" i="23" s="1"/>
  <c r="O25" i="23"/>
  <c r="O26" i="23" s="1"/>
  <c r="M25" i="23"/>
  <c r="M26" i="23" s="1"/>
  <c r="K25" i="23"/>
  <c r="K26" i="23" s="1"/>
  <c r="I2" i="23" a="1"/>
  <c r="I2" i="23" s="1"/>
  <c r="V20" i="18" l="1"/>
  <c r="R8" i="18"/>
  <c r="V12" i="18"/>
  <c r="R24" i="18"/>
  <c r="R16" i="18"/>
  <c r="N8" i="18"/>
  <c r="Z12" i="18"/>
  <c r="V16" i="18"/>
  <c r="R20" i="18"/>
  <c r="J16" i="18"/>
  <c r="N20" i="18"/>
  <c r="J12" i="18"/>
  <c r="N16" i="18"/>
  <c r="Z20" i="18"/>
  <c r="V24" i="18"/>
  <c r="J24" i="18"/>
  <c r="Z16" i="18"/>
  <c r="J20" i="18"/>
  <c r="N24" i="18"/>
  <c r="Z24" i="18"/>
  <c r="Z8" i="18"/>
  <c r="V8" i="18"/>
  <c r="R12" i="18"/>
  <c r="N12" i="18"/>
  <c r="X9" i="1"/>
  <c r="U9" i="1"/>
  <c r="L9" i="1"/>
  <c r="AG9" i="1" l="1"/>
  <c r="AG10" i="1" s="1"/>
  <c r="AF10" i="1" s="1"/>
  <c r="AC9" i="1"/>
  <c r="AE9" i="1" s="1"/>
  <c r="AC10" i="1" s="1"/>
  <c r="AE10" i="1" l="1"/>
  <c r="AD10" i="1"/>
  <c r="AI9" i="1" s="1"/>
  <c r="R10" i="19" l="1"/>
  <c r="R6" i="19"/>
  <c r="O6" i="19"/>
  <c r="U22" i="19"/>
  <c r="R14" i="19"/>
  <c r="L10" i="19"/>
  <c r="O22" i="19"/>
  <c r="U6" i="19"/>
  <c r="L14" i="19"/>
  <c r="O10" i="19"/>
  <c r="U18" i="19"/>
  <c r="R18" i="19"/>
  <c r="O18" i="19"/>
  <c r="L18" i="19"/>
  <c r="I18" i="19"/>
  <c r="U14" i="19"/>
  <c r="O14" i="19"/>
  <c r="I14" i="19"/>
  <c r="L6" i="19"/>
  <c r="R22" i="19"/>
  <c r="L22" i="19"/>
  <c r="I22" i="19"/>
  <c r="U10" i="19"/>
  <c r="I10" i="19"/>
  <c r="AH10" i="1"/>
  <c r="I6" i="19"/>
  <c r="R22" i="18"/>
  <c r="J10" i="18"/>
  <c r="Z6" i="18"/>
  <c r="R6" i="18"/>
  <c r="J18" i="18"/>
  <c r="J6" i="18"/>
  <c r="N10" i="18"/>
  <c r="Z14" i="18"/>
  <c r="V10" i="18"/>
  <c r="R14" i="18"/>
  <c r="V22" i="18"/>
  <c r="N6" i="18"/>
  <c r="V6" i="18"/>
  <c r="R10" i="18"/>
  <c r="N14" i="18"/>
  <c r="J14" i="18"/>
  <c r="N18" i="18"/>
  <c r="Z22" i="18"/>
  <c r="V18" i="18"/>
  <c r="Z18" i="18"/>
  <c r="V14" i="18"/>
  <c r="R18" i="18"/>
  <c r="N22" i="18"/>
  <c r="J22" i="18"/>
  <c r="Z10" i="18"/>
  <c r="H20" i="18"/>
  <c r="P16" i="18"/>
  <c r="X20" i="18"/>
  <c r="T24" i="18"/>
  <c r="T8" i="18"/>
  <c r="L12" i="18"/>
  <c r="X16" i="18"/>
  <c r="H24" i="18"/>
  <c r="X12" i="18"/>
  <c r="P12" i="18"/>
  <c r="L16" i="18"/>
  <c r="H16" i="18"/>
  <c r="H12" i="18"/>
  <c r="L20" i="18"/>
  <c r="T20" i="18"/>
  <c r="T12" i="18"/>
  <c r="P20" i="18"/>
  <c r="L8" i="18"/>
  <c r="X8" i="18"/>
  <c r="T16" i="18"/>
  <c r="P24" i="18"/>
  <c r="L24" i="18"/>
  <c r="P8" i="18"/>
  <c r="H8" i="18"/>
  <c r="X24" i="18"/>
  <c r="AD9" i="1" l="1"/>
  <c r="AF9" i="1" l="1"/>
  <c r="H6" i="19" l="1"/>
  <c r="Q22" i="19"/>
  <c r="N22" i="19"/>
  <c r="K22" i="19"/>
  <c r="H22" i="19"/>
  <c r="T10" i="19"/>
  <c r="H10" i="19"/>
  <c r="T6" i="19"/>
  <c r="Q10" i="19"/>
  <c r="Q6" i="19"/>
  <c r="K14" i="19"/>
  <c r="N6" i="19"/>
  <c r="T22" i="19"/>
  <c r="T18" i="19"/>
  <c r="N18" i="19"/>
  <c r="H18" i="19"/>
  <c r="Q14" i="19"/>
  <c r="N14" i="19"/>
  <c r="H14" i="19"/>
  <c r="K6" i="19"/>
  <c r="N10" i="19"/>
  <c r="Q18" i="19"/>
  <c r="K18" i="19"/>
  <c r="T14" i="19"/>
  <c r="K10" i="19"/>
  <c r="AH9" i="1"/>
</calcChain>
</file>

<file path=xl/sharedStrings.xml><?xml version="1.0" encoding="utf-8"?>
<sst xmlns="http://schemas.openxmlformats.org/spreadsheetml/2006/main" count="752" uniqueCount="371">
  <si>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</si>
  <si>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</si>
  <si>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</si>
  <si>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</si>
  <si>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</si>
  <si>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</si>
  <si>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</si>
  <si>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</si>
  <si>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</si>
  <si>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</si>
  <si>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</si>
  <si>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</si>
  <si>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</si>
  <si>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</si>
  <si>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</si>
  <si>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</si>
  <si>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</si>
  <si>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</si>
  <si>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</si>
  <si>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</si>
  <si>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</si>
  <si>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</si>
  <si>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</si>
  <si>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</si>
  <si>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</si>
  <si>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</si>
  <si>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</si>
  <si>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</si>
  <si>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</si>
  <si>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</si>
  <si>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</si>
  <si>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</si>
  <si>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</si>
  <si>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</si>
  <si>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</si>
  <si>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</si>
  <si>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</si>
  <si>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</si>
  <si>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</si>
  <si>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</si>
  <si>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</si>
  <si>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Impacto 
Inherente</t>
  </si>
  <si>
    <t>Probabilidad Residual Final</t>
  </si>
  <si>
    <t>Impacto Residual Final</t>
  </si>
  <si>
    <t>Zona de Riesgo Inherente</t>
  </si>
  <si>
    <t>Clasificación del Riesgo</t>
  </si>
  <si>
    <t>Muy Baja</t>
  </si>
  <si>
    <t>Frecuencia de la Actividad</t>
  </si>
  <si>
    <t>Baja</t>
  </si>
  <si>
    <t>Muy Alta</t>
  </si>
  <si>
    <t>Tabla Criterios para definir el nivel de probabilidad</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</si>
  <si>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</si>
  <si>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</si>
  <si>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</si>
  <si>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</si>
  <si>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</si>
  <si>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</si>
  <si>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</si>
  <si>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</si>
  <si>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</si>
  <si>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</si>
  <si>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</si>
  <si>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</si>
  <si>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</si>
  <si>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</si>
  <si>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</si>
  <si>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</si>
  <si>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</si>
  <si>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</si>
  <si>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</si>
  <si>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Plan de accion (solo para la opción reducir)</t>
  </si>
  <si>
    <t>Criterios de impacto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</si>
  <si>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</si>
  <si>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</si>
  <si>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</si>
  <si>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</si>
  <si>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</si>
  <si>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</si>
  <si>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</si>
  <si>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</si>
  <si>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</si>
  <si>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</si>
  <si>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</si>
  <si>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</si>
  <si>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</si>
  <si>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</si>
  <si>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</si>
  <si>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</si>
  <si>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</si>
  <si>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</si>
  <si>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</si>
  <si>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</si>
  <si>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</si>
  <si>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</si>
  <si>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</si>
  <si>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</si>
  <si>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</si>
  <si>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</si>
  <si>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</si>
  <si>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</si>
  <si>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</si>
  <si>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</si>
  <si>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</si>
  <si>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</si>
  <si>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</si>
  <si>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</si>
  <si>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Análisis del riesgo inherente</t>
  </si>
  <si>
    <t>Evaluación del riesgo - Valoración de los controles</t>
  </si>
  <si>
    <t>Evaluación del riesgo - Nivel del riesgo residual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</si>
  <si>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</si>
  <si>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</si>
  <si>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</si>
  <si>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</si>
  <si>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</si>
  <si>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</si>
  <si>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</si>
  <si>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</si>
  <si>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</si>
  <si>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</si>
  <si>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</si>
  <si>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</si>
  <si>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</si>
  <si>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</si>
  <si>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</si>
  <si>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</si>
  <si>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</si>
  <si>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</si>
  <si>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</si>
  <si>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</si>
  <si>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</si>
  <si>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</si>
  <si>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</si>
  <si>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</si>
  <si>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</si>
  <si>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</si>
  <si>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</si>
  <si>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</si>
  <si>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</si>
  <si>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</si>
  <si>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</si>
  <si>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</si>
  <si>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</si>
  <si>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</si>
  <si>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</si>
  <si>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</si>
  <si>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</si>
  <si>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</si>
  <si>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</si>
  <si>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</si>
  <si>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</si>
  <si>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</si>
  <si>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</si>
  <si>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</si>
  <si>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</si>
  <si>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</si>
  <si>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</si>
  <si>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</si>
  <si>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</si>
  <si>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</si>
  <si>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</si>
  <si>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</si>
  <si>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</si>
  <si>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</si>
  <si>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</si>
  <si>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Soporte Evidencia</t>
  </si>
  <si>
    <t>Indicador Producto</t>
  </si>
  <si>
    <t>CODIGO: OADS-F-14</t>
  </si>
  <si>
    <t xml:space="preserve">ESE HOSPITAL UNIVERSITARIO SAN RAFAEL DE TUNJA </t>
  </si>
  <si>
    <t xml:space="preserve">MAPA DE RIESGOS DE CORRUPCIÓN </t>
  </si>
  <si>
    <t>CONTROL DE CAMBIOS</t>
  </si>
  <si>
    <t>No. VERSION</t>
  </si>
  <si>
    <t>FECHA</t>
  </si>
  <si>
    <t xml:space="preserve"> RESPONSABLE </t>
  </si>
  <si>
    <t>DESCRIPCION</t>
  </si>
  <si>
    <t>27/10/2020</t>
  </si>
  <si>
    <t>María Pilar Patiño Bello</t>
  </si>
  <si>
    <t>Revision de formato</t>
  </si>
  <si>
    <t>Se Actualiza formato, inclusión de criterios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</si>
  <si>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</si>
  <si>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</si>
  <si>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</si>
  <si>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</si>
  <si>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</si>
  <si>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</si>
  <si>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</si>
  <si>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</si>
  <si>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</si>
  <si>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</si>
  <si>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</si>
  <si>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</si>
  <si>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</si>
  <si>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¿Generar pérdida de credibilidad del sector?</t>
  </si>
  <si>
    <t>¿Ocasionar lesiones físicas o pérdida de vidas humanas?</t>
  </si>
  <si>
    <t>¿Afectar la imagen regional?</t>
  </si>
  <si>
    <t>¿Afectar la imagen nacional?</t>
  </si>
  <si>
    <t>Pregunta:
Si el riesgo de corrupción se materaliza podria…</t>
  </si>
  <si>
    <t>Respuesta</t>
  </si>
  <si>
    <t>Si</t>
  </si>
  <si>
    <t>No</t>
  </si>
  <si>
    <t>Descripción del Riesigo</t>
  </si>
  <si>
    <t>Riesgo 1</t>
  </si>
  <si>
    <t>Riesgo 2</t>
  </si>
  <si>
    <t>Riesgo 3</t>
  </si>
  <si>
    <t>Riesgo 4</t>
  </si>
  <si>
    <t>Riesgo 5</t>
  </si>
  <si>
    <t>Total de preguntas afirmativas</t>
  </si>
  <si>
    <t>Total preguntas negativas</t>
  </si>
  <si>
    <t>Puntaje Respuestas</t>
  </si>
  <si>
    <t>Calificación del Riesgo</t>
  </si>
  <si>
    <t>Respuestas</t>
  </si>
  <si>
    <t>1 a 5</t>
  </si>
  <si>
    <t>6 a 11</t>
  </si>
  <si>
    <t>Catastrofico</t>
  </si>
  <si>
    <t xml:space="preserve">No. </t>
  </si>
  <si>
    <t>¿Dar lugar a procesos Penales?</t>
  </si>
  <si>
    <t>¿Genera Daño Ambiental?</t>
  </si>
  <si>
    <t>12 a 18</t>
  </si>
  <si>
    <t>Se inlcuye columna G para identificación de Subproceso</t>
  </si>
  <si>
    <t>Subproceso</t>
  </si>
  <si>
    <t>VERSION: 02</t>
  </si>
  <si>
    <t>FECHA: 27/10/2020</t>
  </si>
  <si>
    <t>control interno</t>
  </si>
  <si>
    <t>Legales:  Normatividad cambiante
Situaciones coyunturales económicas: disminución o no aumento del recurso asignado.
Ambientales y de Salubridad: El problema de salubridad pública y ambiental, (una pandemia, la contaminación excesiva) es un aspecto importante que puede llegar a afectar el cumplimiento de los objetivos de proceso como institucionales.
Políticos: Disposiciones del Gobierno Nacional que afecten el funcionamiento de las entidades del estado</t>
  </si>
  <si>
    <t>¿Hay situaciones Externas que puedan afectar el cumplimiento del objetivo?
¿Cuáles? (Políticos, económicos y financieros, Sociales y culturales, tecnológicos,ambientales,legales y reglamentarios) ¿Qué actividades del proceso, plan, programa o proyecto, son propensas a actos de corrupción, como porejemplo: tráfico de influencias, acción u omisión,uso del poder, beneficio privado, solicitud o aceptación de dádivas, fraude?. ¿afecta(n) el
cumplimiento del objetivo?</t>
  </si>
  <si>
    <t>CONTEXTO INTERNO</t>
  </si>
  <si>
    <t>CONTEXTO EXTERNO</t>
  </si>
  <si>
    <t>¿Hay situaciones Internas que puedan afectar el cumplimiento del objetivo? ¿Cuáles?
(financieros, personal, procesos, tecnología,estrátegicos, comunicación interna.) ¿Qué actividades del proceso, plan, programa o proyecto, son propensas a actos de corrupción,
como por ejemplo: tráfico de influencias, acción u
omisión, uso del poder, beneficio privado, solicitud o aceptación de dádivas, fraude?.
¿afecta(n) el cumplimiento del objetivo?</t>
  </si>
  <si>
    <t>Personal: El cumplimiento de los objetivos se podría ver afectado por la falta de personal multidisciplinario en la Oficina de Control Interno, teniendo en cuenta que las actividades que se planean para cada vigencia requieren de habilidades y perfiles específicos.
Distribución de Carga laboral: Los objetivos pueden verse afectados por la falta de personal y la distribución sobre cargada o inequitativa de las actividades establecidas, por la mala planificación según el plan de trabajo interno y programa de Auditoría de la OCI.
Financiero: la falta de asignación de recursos solicitados o la no vinculación de personal calificado por falta de recursos internos, puede llegar a afectar las actividades y objetivos.
Tecnológicos: La falta de elementos y equipos suficientes para la condensación de tareas y la digitalización de la información que pueden llegar a generar afectaciones en el tratamiento y perdida de la información</t>
  </si>
  <si>
    <t>CONTEXTO DEL PROCESO</t>
  </si>
  <si>
    <t>¿Hay situaciones del proceso que puedan afectar el cumplimiento del objetivo? ¿Cuáles? (diseño
del proceso, interrelaciones con otros procesos, transversalidad, procedimientos asociados,
responsables del proceso, comunicación entre los
procesos)</t>
  </si>
  <si>
    <t>Procesos: Desconocimiento de los procedimientos administrativos por parte de los funcionarios
Procedimientos: Actividades sin definir en los procedimientos y/o manuales, que en su ejecución tengan relevancia en las actividades descritas para la OCI y falta de controles que permitan garantizar la eficacia, eficiencia y efectividad de las mismas.
Incumplimientos de las normativas internas y externas: falta de Observación de los lineamientos legales, políticas y procedimientos, que puede afectar la calidad de las auditorias e informes afectando el objetivo institucional.
Falta de comunicación entre los procesos: la Falta de sinergia entre los diferentes procesos y la no coacción de estos con el proceso de evaluación y control, pueden generar inobservancia o interpretaciones erradas de las recomendación y conclusiones entregadas por la OCI
Personal: Aumento de la carga laboral 
Tecnología: Perdida o deterioro de los equipos y elementos necesarios para la prestación de los servicios</t>
  </si>
  <si>
    <t>OPORTUNIDADES</t>
  </si>
  <si>
    <t xml:space="preserve">DEBILIDADES </t>
  </si>
  <si>
    <t>1. Se evidencia la existencia de mapas de riesgos y de controles, los cuales no son revisados y actualizados permanentemente para hacerlos  más eficientes y efectivos acorde con las actualizaciones normativas y el contexto institucional.
2. Falta de inducción y reinducción permanente a los funcionarios  que les permita apropiar el autocontrol al interior de los procesos.
3. Falencias en la  formulación de los diferentes planes y el seguimiento de los mismos, sin tener en cuenta las actualizaciones
normativas y las dispocisiones internas.
4. El no contar con el recurso humano suficiente
5. desconocimiento del sistema de Control interno, y el hecho de no asumir la responsabilidad que compete en la implementación mantenimiento y mejora del Sistema de Control Interno.
6. La falta de seguimiento y control a los planes de trabajo
7. el desconocimiento o desactualización normativa
8. la no entrega oportuna de los insumos de información
9. la falta de capacitación</t>
  </si>
  <si>
    <t xml:space="preserve">
Se verificará coherencia entre los objetivos propuestas en el plan de auditoria ( OACI-F-04) y los informes preliminar y final presentado por el auditor</t>
  </si>
  <si>
    <t>Posibilidad de Sanciones, pérdida de credibilidad y confiabilidad en los informes de control interno  por Manipulación en la Gestión de las auditorías con el fin de beneficiar o desfavorecer a un Proceso y/o Subproceso de la Entidad.</t>
  </si>
  <si>
    <t xml:space="preserve">1. Inaplicabilidad del Estatuto de Auditoría (Desconocimiento de los principios de independencia, objetividad e imparcialidad por parte de los Auditores así mismo el indebido direccionamiento.
2. trafico de influencias, Ocultamiento o utilización de información a
favor de un tercero
3.  Falta de criterio y objetividad del auditor). </t>
  </si>
  <si>
    <t>Ejecución y Administración de procesos</t>
  </si>
  <si>
    <t xml:space="preserve">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 </t>
  </si>
  <si>
    <r>
      <t>Plan Anual de auditoria OACI-F-02</t>
    </r>
    <r>
      <rPr>
        <sz val="10"/>
        <color rgb="FFFF0000"/>
        <rFont val="Tahoma"/>
        <family val="2"/>
      </rPr>
      <t xml:space="preserve">
</t>
    </r>
    <r>
      <rPr>
        <sz val="10"/>
        <color theme="1"/>
        <rFont val="Tahoma"/>
        <family val="2"/>
      </rPr>
      <t>Declaración de Conocimiento código de Ética de la Auditoria Interna  Anexo 1 de Código de Ética
Carta de representación de veracidad de la información OACI-F-06  
Formato OACI-F-15 Compromiso de confidencialidad del Auditor</t>
    </r>
  </si>
  <si>
    <t xml:space="preserve">
Se validará  la suscripción  del la declaración de conocimiento código de Ética Auditoria Interna anexo 1 el cual debe hacer parte de los documentos de la Auditoria realizada a cada proceso</t>
  </si>
  <si>
    <t>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e Informe Fina de Auditorial OACI-F-16</t>
  </si>
  <si>
    <t>Plan de auditoria OACI-F-04
Informe final  de Auditoria OACI-F-16</t>
  </si>
  <si>
    <t xml:space="preserve">Declaración del conocimiento codigo de etica </t>
  </si>
  <si>
    <t xml:space="preserve">Zona de Riesgo </t>
  </si>
  <si>
    <t>enero a diciembre de 2023</t>
  </si>
  <si>
    <t>Cuatrimestral</t>
  </si>
  <si>
    <t>CONTROL INTERNO</t>
  </si>
  <si>
    <t>Carencia de controles en la entrega de mercancias</t>
  </si>
  <si>
    <t>Posibilidad de incumplimiento de necesidades de la entidad debido al favorecimiento por la aceptación de bienes e insumos que no cumplan lo establecido contractualmente.</t>
  </si>
  <si>
    <t>Gestión Suministros y Activos Fijos</t>
  </si>
  <si>
    <t>El lider de almacén según la necesidad verifica el cumplimiento contractual frente a las especificaciones técnicas de los bienes e insumos a ingresar según lo establecido en el procedimiento  A-PR-01 Ingreso de Mercancias a través de facturas y certificaciones de recibido a satisfacción</t>
  </si>
  <si>
    <t>Factura, Certificación de recibido a satisfacción; informe mensual de ingreso y egresos a contabildad</t>
  </si>
  <si>
    <t>NA</t>
  </si>
  <si>
    <t xml:space="preserve">Falta de control en los requisitos técnicos frente a cada una de las especificaciones establecidas en el anexo tecnico. 
</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</si>
  <si>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</si>
  <si>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GESTIÓN TECNOLÓGICA</t>
  </si>
  <si>
    <t>C-F-28 Estudio conveniencia y oportunidad,  Anexo  Especificaciones Técnicas</t>
  </si>
  <si>
    <t xml:space="preserve">Realizar aplicación  Anexo técnico 
Especificaciones Técnicas y Servicios Posventa de compra de equipos </t>
  </si>
  <si>
    <t>Coordinador Biomedica</t>
  </si>
  <si>
    <t>Enero a Diciembre de 2023</t>
  </si>
  <si>
    <t>Anexo tecnico en estudio previos y concepto técnico</t>
  </si>
  <si>
    <t>El líder de Biomédica, basado en la oferta de tecnologías del mercado realiza el análisis de especificaciones técnicas conforme a la necesidad del Hospital evaluando su pertinencia, por medio del  Anexo técnico,   Especificaciones Técnicas y Servicios Posventa, analizadas a través del formato C-F-31 Evaluación Técnica Definitiva.</t>
  </si>
  <si>
    <t xml:space="preserve">Formato C-F-31 Evaluación Técnica Definitiva, contrato, anexo técnico, especificaciones técnicas y servicios posventa. </t>
  </si>
  <si>
    <t>El líder de Biómedica conforme a la necesidad verifica el cumplimiento de las especificaciones técnicas de los equipos de acuerdo a la pertinencia y efectividad de la tecnología solicitada conforme a lo establecido en el procedimiento IB-PR-09 Análisis de Ingreso de nuevas Tecnologías mediante el formato IB-F-01 Proceso de validación de ingreso de Activos relacionados con equipos biomédicos</t>
  </si>
  <si>
    <t>IB-F-01 Formato Proceso de validación de ingreso de Activos relacionado con equipos Biomédicos
Acta de recibo del equipo a satisfacción</t>
  </si>
  <si>
    <t>No aplicación de lo establecido en el manual de contratación en lo referente a la selección objetiva</t>
  </si>
  <si>
    <r>
      <rPr>
        <b/>
        <sz val="10"/>
        <color rgb="FFFF0000"/>
        <rFont val="Tahoma"/>
        <family val="2"/>
      </rPr>
      <t>Etapa de Selección:</t>
    </r>
    <r>
      <rPr>
        <sz val="10"/>
        <rFont val="Tahoma"/>
        <family val="2"/>
      </rPr>
      <t xml:space="preserve"> Posibilidad de investigaciones y sanciones disciplinarias, penales y fiscales debido a la vulneracion a principios de la contratacion pública a favor de un tercero en la selección del contratista</t>
    </r>
  </si>
  <si>
    <t>GESTIÓN DE CONTRATACIÓN</t>
  </si>
  <si>
    <t>Relación de contratos suscritos en el periodo evaluado, Publicación en el SECOP y pagina web, evaluación del contratista, respuesta a observaciones, acta de cierre del proceso, propuesta oferente, estudios previos y demas soportes asociados a la etapa precontractual. C-F-31, C-F-29, TH- F-68</t>
  </si>
  <si>
    <t>La secretaria tecnica del comité de contratacion según necesidad, Para el caso de convocatoria pública, documentara a traves de actas, el estudio del proceso y la selección del contratista</t>
  </si>
  <si>
    <t>Actas de comité de contratación realizadas en el periodo evalluado</t>
  </si>
  <si>
    <t>No aplicación de lo establecido en la ley 1474 de 2011</t>
  </si>
  <si>
    <r>
      <rPr>
        <b/>
        <sz val="10"/>
        <color rgb="FFFF0000"/>
        <rFont val="Tahoma"/>
        <family val="2"/>
      </rPr>
      <t>Etapa de Ejecución</t>
    </r>
    <r>
      <rPr>
        <sz val="10"/>
        <rFont val="Tahoma"/>
        <family val="2"/>
      </rPr>
      <t>: 
Posibilidad de investigaciones de carácter penal debido al favorecimiento a un tercero en la aceptación de bienes y/o servicios que no cumplan con las condiciones tecnicas exigidas y/o las actividades del objeto contractual</t>
    </r>
  </si>
  <si>
    <t>El supervisor o interventor del proceso revisa y avala cada uno de los elementos que ingresan a la entidad, con el fin de que cumplan con criterios de calidad, de igual forma hace seguimiento a las actividades que realizan los contratistas, conforme al objeto contractual  dando cumplimiento estricto al  Manual de supervisión e interventoria.</t>
  </si>
  <si>
    <t>Listado de contratos, Informes de supervisión, documentos de ejecución del contrato.</t>
  </si>
  <si>
    <t>GESTION FINANCIERA</t>
  </si>
  <si>
    <t xml:space="preserve">Falta de seguimiento a la aceptacion de la glosa                </t>
  </si>
  <si>
    <t>Posibilidad de Pérdida Recursos económicos de la Entidad y/o                      Investigaciones y sanciones disciplinarias por recibir sobornos por aceptación de Glosa a favor de las entidades Responsables de Pago</t>
  </si>
  <si>
    <t>Auditoria Cuentas Médicas</t>
  </si>
  <si>
    <t xml:space="preserve">El Coordinador del Proceso, Auditores (Externo y de la ESE) y Técnico de Cuentas Médicas, según necesidad levantan acta de reunión de análisis conjunto con las ERP con las cuales existen glosas reiteardas  según lo establecido en el procedimiento AM-PR-03 Acta de levantamiento y/o aceptación de glosas y devoluciones, medido a través del indicador 546 Aceptación de glosa de la vigencia con una meta establecida &lt;=4% sobre la facturación neta de la vigencia </t>
  </si>
  <si>
    <t>AM-F-03 acta de levantamiento de glosa, indicador mensual 546 Aceptación de glosa de la vigencia,  Informe trimestral de análiisis de aceptación de glosa, notas crédito mensual.</t>
  </si>
  <si>
    <t>No aplicación  de las medidas establecidas en el procedimiento F-PR-15  Auditoria administrativa</t>
  </si>
  <si>
    <t>Posibilidad de Pérdida de Recursos económicos de la Instiución por NO facturar servicios prestados por interéses particulares</t>
  </si>
  <si>
    <t>Facturación</t>
  </si>
  <si>
    <t>El Analista principal diariamiente verifica que los egresos generados esten efectivamente facturados, de acuerdo a lo establecido en el procedimiento F-PR-15 Audtoría Administrativa, a través del formato F-F-17 Control de evidencias por facturación revisada</t>
  </si>
  <si>
    <t xml:space="preserve">Formato F-F-17  Control de evidencias por facturación revisada. (consolida en una bases de datos).
Informe mensual Socialización de inconsistencias encontradas y planes de mejora a implementar.
</t>
  </si>
  <si>
    <t xml:space="preserve">El líder de cartera y técnico de cartera dan el trámite respectivo para el proceso administrativo de cobro según sea el caso (persuasivo, prejurídico y jurídico) y según necesidad conforme lo establece el Procedimiento CAR-PR-12 Proceso de Cobro y Procedimiento CAR-PR-06 Recuado Pagares </t>
  </si>
  <si>
    <t>Base de datos Pagares, Informe mensual de cartera, informe trimestral de estado de cartera (Pagares), Acta comité.</t>
  </si>
  <si>
    <t>Omision de los controles establecidos en los procedimientos</t>
  </si>
  <si>
    <t>Posibilidad de pérdida de recursos debido a que los funcionarios de cartera puedan ser objeto de concusión en ejercicio de sus funciones, por parte de los responsables de pago</t>
  </si>
  <si>
    <t>Cartera</t>
  </si>
  <si>
    <t>GESTION ADMINISTRATIVA</t>
  </si>
  <si>
    <t>GESTION DOCUMENTAL</t>
  </si>
  <si>
    <t>GESTION JURIDICA</t>
  </si>
  <si>
    <t xml:space="preserve">Falta de control en los requisitos técnicos frente a cada una de las especificaciones establecidas en el estudio previo. 
</t>
  </si>
  <si>
    <t>Posibilidad de Sanciones administrativas y disciplinarias por Favorecimiento a un tercero  en la emisión de Conceptos Técnicos en la Contratación asociada a la adquisición, mantenimiento de   infraestructura hospitalaria y  equipo industrial.</t>
  </si>
  <si>
    <t>Gestión Mantenimiento</t>
  </si>
  <si>
    <t>C-F-28 Estudio Previo de Conveniencia y Oportunidad</t>
  </si>
  <si>
    <t xml:space="preserve">Dar aplicación estricta a lo que establece las especificaciones técnicas y el Estudio de conveniencia y oportunidad </t>
  </si>
  <si>
    <t>Coordinador de Mantenimiento</t>
  </si>
  <si>
    <t>Enero a diciembre de 2023</t>
  </si>
  <si>
    <t>C-F-28 Estudio de conveniencia y oportunidad
C-F-31 Evaluación ténica definida</t>
  </si>
  <si>
    <t>Según la necesidad el líder de mantenimiento basado en las especificaciones técnicas y las ofertas presentadas por los proveedores emite el Concepto Técnico a través del formato C-F-31 Evaluación técnica Definitiva</t>
  </si>
  <si>
    <t xml:space="preserve">
Evaluación Técnica definitiva C-F-31
Especificaciones Técnicas
Propuestas</t>
  </si>
  <si>
    <t>GESTION DE MANTENIMIENTO</t>
  </si>
  <si>
    <t>No validacion de la informacion publicada.</t>
  </si>
  <si>
    <t>Posibilidad de Pérdida de recursos e imagen institucional debido a la alteración de la Información registrada en los Sistemas de información por parte de uno o más colaboradores del proceso en favorecimiento de un tercero.</t>
  </si>
  <si>
    <t>Sistemas</t>
  </si>
  <si>
    <t>El profesional del proceso de TIC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las diferentes áreas del hospital, mediante la protección contra escritura del archivo publicado y con permisos de acceso a las áreas directamente implicadas</t>
  </si>
  <si>
    <t>Informe de 2193 publicado en la ruta respectiva, correos electrónicos de la gestión del reporte
\\hsrtunclu\Estadisticas\Estadisticas\Estadisticas_2022\Decreto_2193_2022</t>
  </si>
  <si>
    <t>Validar la información generada y reportar novedades a las áreas respectivas</t>
  </si>
  <si>
    <t>Lider Unidad Análisis Estadístico</t>
  </si>
  <si>
    <t>Correos electrónicos</t>
  </si>
  <si>
    <t>El grupo de sistemas de información cuando se requiera asigna y define permisos a usuarios teniendo en cuenta lo establecido en el manual de Políticas de seguridad de la informaicon S-M-02 en su apartado creación de cuenta y acceso a los sistemas de información dejando registro en el formato S-F-39 solicitud de creación de usuario. Dicho formato se anexa a la solicitud en la mesa de servicios (GLPI).</t>
  </si>
  <si>
    <t>S-F-39 formato de solicitud de creación de usuarios</t>
  </si>
  <si>
    <t>Aplicar lo establecido en el  manual de Políticas de seguridad de la informaicon S-M-02, en lo relacionado con la gestión y administración de usuarios al sistema de información y con los perfiles y permisos del directorio activo DA.</t>
  </si>
  <si>
    <t>Grupo Sistemas de información</t>
  </si>
  <si>
    <t>Indicador 1559 Cumplimiento de políticas de seguridad de la información en la entidad</t>
  </si>
  <si>
    <t xml:space="preserve">El grupo de sistemas cuando se requiera define parámetros para restringir y controlar la asignación y uso de derechos de acceso y establecer permisos según lo establecido en el procedimiento S-PR- 12 Gestión y Administración a través de directorio activo </t>
  </si>
  <si>
    <t>Pantallazo directorio activo de usuarios registrados</t>
  </si>
  <si>
    <t>GESTION DE LA TECNOLOGIA Y LAS COMUNICACIONES</t>
  </si>
  <si>
    <t>Posibilidad de Sanciones administrativas y disciplinarias por Favorecimiento a un tercero  en la emisión de Conceptos Técnicos en la Contratación asociada al proceso</t>
  </si>
  <si>
    <t>Calidad
Seguridad y Salud en el Trabajo
Gestión Ambiental</t>
  </si>
  <si>
    <t>C-F-28 Estudio Previo de Conveniencia y Oportunidad del periodo evaluado</t>
  </si>
  <si>
    <t>Según la necesidad el líder del proceso basado en las especificaciones técnicas y las ofertas presentadas por los proveedores emite el Concepto Técnico a través del formato C-F-31 Evaluación técnica Definitiva</t>
  </si>
  <si>
    <t xml:space="preserve">
Evaluación Técnica definitiva C-F-31 del periodo evaluado
Especificaciones Técnicas
Propuestas</t>
  </si>
  <si>
    <t>Interés indebido sobre la vinculación del personal</t>
  </si>
  <si>
    <t>Posibilidad de Investigaciones de los organismos de control, disciplinarias y sanciones pecuniarias por Favorecer a un aspirante en el acceso a un cargo  sin el lleno de requisitos legales (personal de planta, CPS, empresa Temporal y Tercerizados asistenciales)</t>
  </si>
  <si>
    <t>Gestión del Talento Humano</t>
  </si>
  <si>
    <t>La profesional de nómina procede a revisar los requisitos del candidato a ser vinculado cumpliendo con lo establecido en el  Procedimiento   selección, ingreso y promoción de personal TH-PR-08, manual de funciones y formato TH-F-45 el cual se formaliza a través de firma una vez cumpla con los requisitos allí definidos.
Los profesionales delegados para la revisión de hojas de vida y cumplimiento de requisitos para la selección y vinculación del personal dan aplicación a los procedimientos "Verificación, manejo y control y custodia de historias laborales TH-PR-05" y " Procedimiento TH-PR-42 Selección de personal en misión", frente al cumplimiento de requisitos para su vinculación y cuyo resultado será la formalización del formato TH-F-45 con las respectivas firmas. 
Anexo técnico de perfil</t>
  </si>
  <si>
    <t>Relación de contratos del periodo a evaluar
TF-F-45 Verificación requisitos de hoja de vida
Hojas de vida personal vinculado
Anexo Técnico personal en mision
ECO, Formato TH-F-45 Relación de contratos con número o Radicado</t>
  </si>
  <si>
    <t>Coordinador de Talento Humano</t>
  </si>
  <si>
    <t>Según la necesidad el líder de Talento Humano basado en las especificaciones técnicas y las ofertas presentadas por los proveedores emite el Concepto Técnico a través del formato C-F-31 Evaluación técnica Definitiva</t>
  </si>
  <si>
    <t>Evaluación Técnica definitiva C-F-31
Especificaciones Técnicas
Propuestas</t>
  </si>
  <si>
    <t>GESTION DE TALENTO HUMANO</t>
  </si>
  <si>
    <t>Posibilidad de afectación del servicio, Investigaciones y sanciones disciplinarias debido al favorecimiento a terceros mediante  la emisión de la evaluación técnica final en la contratación</t>
  </si>
  <si>
    <t>Consulta Externa
Apoyo Diagnóstico y compementación Terapeutica
Laboratorio Clínico</t>
  </si>
  <si>
    <t xml:space="preserve">
Evaluación Técnica definitiva C-F-31, Propuesta Económica</t>
  </si>
  <si>
    <t>APOYO SERVICIOS DE SALUD</t>
  </si>
  <si>
    <t>No adherencia al procedimiento de selección y adquisición de medicamentos y dispositivos médicos</t>
  </si>
  <si>
    <t xml:space="preserve">Posibilidad de Investigaciones y sanciones disciplinarias o  detrimento patrimonial debido al favorecimiento a terceros mediante la adquisición de medicamentos y dispositivos médicos </t>
  </si>
  <si>
    <t>GESTIÓN FARMACÉUTICA</t>
  </si>
  <si>
    <t>El Coordinador Administrativo de farmacia por requerimiento analiza la viabilidad de la necesidad de adquisición de medicamentos y dispositivos y emite el requrimiento de acuerdo al tipo de contratación según lo establecido en el  Procedimiento selección y adquisición de medicamentos y dispositivos médicos SF-PR-23 mediante el formato C-F-28  Estudio previo de coveniencia y oportunidad y formato C-F-31 Evaluación Técnica Definitiva</t>
  </si>
  <si>
    <t>Relación contratos del periodo evaluado, C-F-28 Estudio previo de conveniencia y oportunidad, C-F-31 Evaluación Técnica Definitiva</t>
  </si>
  <si>
    <t>Gestión Quirúrgica</t>
  </si>
  <si>
    <t xml:space="preserve">
Evaluación Técnica definitiva C-F-31
Hojas de vida</t>
  </si>
  <si>
    <t>GESTION QUIRURGICA</t>
  </si>
  <si>
    <t>GESTION DE SUMINISTROS Y ACTIVOS FIJOS</t>
  </si>
  <si>
    <t>GESTION QHSE</t>
  </si>
  <si>
    <t>No. DEL RIESGO</t>
  </si>
  <si>
    <t>Tipo de Riesgo</t>
  </si>
  <si>
    <t>Impacto Inherente</t>
  </si>
  <si>
    <t>Zona de Riesgo Residual</t>
  </si>
  <si>
    <t>CODIGO: OADS-F-13
VERSIÓN: 3</t>
  </si>
  <si>
    <t xml:space="preserve">ESE HOSPITAL UNIVERSITARIO SAN RAFAEL TUNJA
</t>
  </si>
  <si>
    <t>MAPA DE RIESGOS INSTITUCIONAL 2023</t>
  </si>
  <si>
    <t>Corrupción</t>
  </si>
  <si>
    <t>El líder de Biomédica emite el estudio de conveniencia de acuerdo al tipo de contratación y según la necesidad del servicio, teniendo en cuenta lo establecido en el estatuto interno de contratación por acuerdo No.11 de 2019 en donde están los requisitos diligenciando el formato C-F-28 Estudio de conveniencia y oportunidad</t>
  </si>
  <si>
    <t xml:space="preserve">El coordinador de contratación según necesidad da aplición a los descrito en el estatuto interno de contratación por acuerdo No.11 de 2019, según cada modalidad de selección contractual, frente a los requisitos allí señalados para la selección de contratistas.  </t>
  </si>
  <si>
    <t>Según necesidad El líder de mantenimiento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</si>
  <si>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Según necesidad El líder del proceso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</si>
  <si>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Según necesidad El líder de Talento Humano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</si>
  <si>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Asesor oficina de control interno</t>
  </si>
  <si>
    <t xml:space="preserve">Posibilidad de afectación del servicio por favorecimiento a terceros en la evaluación técnica final en la contratación que conlleven a  investigaciones y sanciones disciplinarias </t>
  </si>
  <si>
    <t>Según necesidad la coordinación de apoyos de servicios de salud y Laboratorio Clinico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</si>
  <si>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Según necesidad la coordinación de apoyos de servicios de salud y Laboratorio Clinico y Laboratorio Clinico, basado en los requisitos contractuales y especificaciones técnicas emite el Concepto Técnico a través del formato C-F-31 Evaluación técnica Definitiva</t>
  </si>
  <si>
    <t>Coordinación de apoyos de servicios de salud y Laboratorio Clinico</t>
  </si>
  <si>
    <t>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t>
  </si>
  <si>
    <t>Según necesidad prestación de servicios emite el estudio previo de conveniencia y oportunidad de acuerdo al tipo de contratación y según la necesidad del servicio, teniendo en cuenta lo establecido en elestatuto interno de contratación por acuerdo No.11 de 2019  en donde están los requisitos mediante el formato C-F-27 (ESTUDIO PREVIO DE CONVENIENCIA Y OPORTUNIDAD - PRESTACIÓN DE SERVICIOS (JUSTIFICACIÓN TÉCNICA)</t>
  </si>
  <si>
    <t>Según la necesidad la oficina de prestaciónn de servicio, basado en los requisitos contractuales y especificaciones técnicas emite el Concepto Técnico a través del formato C-F-31 Evaluación técnica Definitiva (para entidades), TH-F-68 ENTREVISTA CONCEPTO TÉCNICO    
( SUPERVISOR) ( CPS)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</si>
</sst>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sz val="16"/>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Tahoma"/>
      <family val="2"/>
    </font>
    <font>
      <b/>
      <sz val="10"/>
      <color theme="1"/>
      <name val="Tahoma"/>
      <family val="2"/>
    </font>
    <font>
      <sz val="10"/>
      <name val="Tahoma"/>
      <family val="2"/>
    </font>
    <font>
      <sz val="24"/>
      <color theme="1"/>
      <name val="Calibri"/>
      <family val="2"/>
      <scheme val="minor"/>
    </font>
    <font>
      <sz val="22"/>
      <color theme="1"/>
      <name val="Calibri"/>
      <family val="2"/>
      <scheme val="minor"/>
    </font>
    <font>
      <sz val="18"/>
      <color theme="1"/>
      <name val="Calibri"/>
      <family val="2"/>
      <scheme val="minor"/>
    </font>
    <font>
      <b/>
      <sz val="16"/>
      <color theme="1"/>
      <name val="Calibri"/>
      <family val="2"/>
      <scheme val="minor"/>
    </font>
    <font>
      <b/>
      <sz val="8"/>
      <color theme="1"/>
      <name val="Tahoma"/>
      <family val="2"/>
    </font>
    <font>
      <sz val="9"/>
      <color theme="1"/>
      <name val="Tahoma"/>
      <family val="2"/>
    </font>
    <font>
      <sz val="10"/>
      <color rgb="FFFF0000"/>
      <name val="Tahoma"/>
      <family val="2"/>
    </font>
    <font>
      <b/>
      <sz val="10"/>
      <color rgb="FFFF0000"/>
      <name val="Tahoma"/>
      <family val="2"/>
    </font>
    <font>
      <b/>
      <sz val="8"/>
      <color rgb="FF27285D"/>
      <name val="Tahoma"/>
      <family val="2"/>
    </font>
    <font>
      <b/>
      <sz val="14"/>
      <color rgb="FF27285D"/>
      <name val="Tahoma"/>
      <family val="2"/>
    </font>
    <font>
      <b/>
      <sz val="8"/>
      <name val="Tahoma"/>
      <family val="2"/>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249977111117893"/>
        <bgColor indexed="64"/>
      </patternFill>
    </fill>
  </fills>
  <borders count="87">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bottom style="thin">
        <color theme="1"/>
      </bottom>
      <diagonal/>
    </border>
    <border>
      <left/>
      <right style="thin">
        <color theme="1"/>
      </right>
      <top/>
      <bottom style="thin">
        <color theme="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auto="1"/>
      </left>
      <right style="thin">
        <color indexed="64"/>
      </right>
      <top/>
      <bottom style="thin">
        <color theme="1"/>
      </bottom>
      <diagonal/>
    </border>
    <border>
      <left style="thin">
        <color auto="1"/>
      </left>
      <right style="thin">
        <color indexed="64"/>
      </right>
      <top style="thin">
        <color theme="1"/>
      </top>
      <bottom/>
      <diagonal/>
    </border>
  </borders>
  <cellStyleXfs count="5">
    <xf numFmtId="0" fontId="0" fillId="0" borderId="0"/>
    <xf numFmtId="9" fontId="10" fillId="0" borderId="0" applyFont="0" applyFill="0" applyBorder="0" applyAlignment="0" applyProtection="0"/>
    <xf numFmtId="0" fontId="31" fillId="0" borderId="0"/>
    <xf numFmtId="0" fontId="32" fillId="0" borderId="0"/>
    <xf numFmtId="0" fontId="4" fillId="0" borderId="0"/>
  </cellStyleXfs>
  <cellXfs count="418">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4" fillId="11" borderId="0" xfId="0" applyFont="1" applyFill="1" applyAlignment="1" applyProtection="1">
      <alignment horizontal="center" vertical="center" wrapText="1" readingOrder="1"/>
      <protection hidden="1"/>
    </xf>
    <xf numFmtId="0" fontId="14" fillId="12" borderId="0" xfId="0" applyFont="1" applyFill="1" applyAlignment="1" applyProtection="1">
      <alignment horizontal="center" wrapText="1" readingOrder="1"/>
      <protection hidden="1"/>
    </xf>
    <xf numFmtId="0" fontId="14" fillId="13" borderId="0" xfId="0" applyFont="1" applyFill="1" applyAlignment="1" applyProtection="1">
      <alignment horizontal="center" wrapText="1" readingOrder="1"/>
      <protection hidden="1"/>
    </xf>
    <xf numFmtId="0" fontId="14" fillId="5" borderId="0" xfId="0" applyFont="1" applyFill="1" applyAlignment="1" applyProtection="1">
      <alignment horizontal="center" wrapText="1" readingOrder="1"/>
      <protection hidden="1"/>
    </xf>
    <xf numFmtId="0" fontId="0" fillId="3" borderId="0" xfId="0" applyFill="1"/>
    <xf numFmtId="0" fontId="33" fillId="3" borderId="31" xfId="2" applyFont="1" applyFill="1" applyBorder="1"/>
    <xf numFmtId="0" fontId="33" fillId="3" borderId="32" xfId="2" applyFont="1" applyFill="1" applyBorder="1"/>
    <xf numFmtId="0" fontId="33" fillId="3" borderId="33" xfId="2" applyFont="1" applyFill="1" applyBorder="1"/>
    <xf numFmtId="0" fontId="12" fillId="3" borderId="0" xfId="0" applyFont="1" applyFill="1" applyAlignment="1">
      <alignment vertical="center"/>
    </xf>
    <xf numFmtId="0" fontId="4" fillId="3" borderId="0" xfId="0" applyFont="1" applyFill="1"/>
    <xf numFmtId="0" fontId="22" fillId="3" borderId="0" xfId="0" applyFont="1" applyFill="1"/>
    <xf numFmtId="0" fontId="23" fillId="3" borderId="14" xfId="0" applyFont="1" applyFill="1" applyBorder="1" applyAlignment="1">
      <alignment horizontal="center" vertical="center" wrapText="1" readingOrder="1"/>
    </xf>
    <xf numFmtId="0" fontId="24" fillId="3" borderId="14"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4" fillId="3" borderId="13" xfId="0" applyFont="1" applyFill="1" applyBorder="1" applyAlignment="1">
      <alignment horizontal="justify" vertical="center" wrapText="1" readingOrder="1"/>
    </xf>
    <xf numFmtId="9" fontId="23" fillId="3" borderId="18" xfId="0" applyNumberFormat="1" applyFont="1" applyFill="1" applyBorder="1" applyAlignment="1">
      <alignment horizontal="center" vertical="center" wrapText="1" readingOrder="1"/>
    </xf>
    <xf numFmtId="0" fontId="24" fillId="3" borderId="18" xfId="0" applyFont="1" applyFill="1" applyBorder="1" applyAlignment="1">
      <alignment horizontal="center" vertical="center" wrapText="1" readingOrder="1"/>
    </xf>
    <xf numFmtId="0" fontId="23" fillId="3" borderId="20" xfId="0" applyFont="1" applyFill="1" applyBorder="1" applyAlignment="1">
      <alignment horizontal="center" vertical="center" wrapText="1" readingOrder="1"/>
    </xf>
    <xf numFmtId="0" fontId="24" fillId="3" borderId="20" xfId="0" applyFont="1" applyFill="1" applyBorder="1" applyAlignment="1">
      <alignment horizontal="justify" vertical="center" wrapText="1" readingOrder="1"/>
    </xf>
    <xf numFmtId="0" fontId="24" fillId="3" borderId="21" xfId="0" applyFont="1" applyFill="1" applyBorder="1" applyAlignment="1">
      <alignment horizontal="center" vertical="center" wrapText="1" readingOrder="1"/>
    </xf>
    <xf numFmtId="0" fontId="30" fillId="3" borderId="0" xfId="0" applyFont="1" applyFill="1"/>
    <xf numFmtId="0" fontId="23" fillId="15" borderId="25" xfId="0" applyFont="1" applyFill="1" applyBorder="1" applyAlignment="1">
      <alignment horizontal="center" vertical="center" wrapText="1" readingOrder="1"/>
    </xf>
    <xf numFmtId="0" fontId="23" fillId="15" borderId="26" xfId="0" applyFont="1" applyFill="1" applyBorder="1" applyAlignment="1">
      <alignment horizontal="center" vertical="center" wrapText="1" readingOrder="1"/>
    </xf>
    <xf numFmtId="0" fontId="11" fillId="3" borderId="0" xfId="0" applyFont="1" applyFill="1"/>
    <xf numFmtId="0" fontId="3" fillId="3" borderId="0" xfId="0" applyFont="1" applyFill="1" applyAlignment="1">
      <alignment horizontal="left" vertical="center"/>
    </xf>
    <xf numFmtId="0" fontId="33" fillId="3" borderId="3" xfId="2" applyFont="1" applyFill="1" applyBorder="1"/>
    <xf numFmtId="0" fontId="38" fillId="3" borderId="0" xfId="0" applyFont="1" applyFill="1" applyAlignment="1">
      <alignment horizontal="left" vertical="center" wrapText="1"/>
    </xf>
    <xf numFmtId="0" fontId="39" fillId="3" borderId="0" xfId="0" applyFont="1" applyFill="1" applyAlignment="1">
      <alignment horizontal="left" vertical="top" wrapText="1"/>
    </xf>
    <xf numFmtId="0" fontId="33" fillId="3" borderId="0" xfId="2" applyFont="1" applyFill="1"/>
    <xf numFmtId="0" fontId="33" fillId="3" borderId="4" xfId="2" applyFont="1" applyFill="1" applyBorder="1"/>
    <xf numFmtId="0" fontId="33" fillId="3" borderId="5" xfId="2" applyFont="1" applyFill="1" applyBorder="1"/>
    <xf numFmtId="0" fontId="33" fillId="3" borderId="7" xfId="2" applyFont="1" applyFill="1" applyBorder="1"/>
    <xf numFmtId="0" fontId="33" fillId="3" borderId="6" xfId="2" applyFont="1" applyFill="1" applyBorder="1"/>
    <xf numFmtId="0" fontId="37" fillId="3" borderId="0" xfId="2" applyFont="1" applyFill="1" applyAlignment="1">
      <alignment horizontal="left" vertical="center" wrapText="1"/>
    </xf>
    <xf numFmtId="0" fontId="33" fillId="3" borderId="0" xfId="2" applyFont="1" applyFill="1" applyAlignment="1">
      <alignment horizontal="left" vertical="center" wrapText="1"/>
    </xf>
    <xf numFmtId="0" fontId="33" fillId="3" borderId="0" xfId="2" quotePrefix="1" applyFont="1" applyFill="1" applyAlignment="1">
      <alignment horizontal="left" vertical="center" wrapText="1"/>
    </xf>
    <xf numFmtId="0" fontId="35" fillId="3" borderId="3" xfId="2" quotePrefix="1" applyFont="1" applyFill="1" applyBorder="1" applyAlignment="1">
      <alignment horizontal="left" vertical="top" wrapText="1"/>
    </xf>
    <xf numFmtId="0" fontId="36" fillId="3" borderId="0" xfId="2" quotePrefix="1" applyFont="1" applyFill="1" applyAlignment="1">
      <alignment horizontal="left" vertical="top" wrapText="1"/>
    </xf>
    <xf numFmtId="0" fontId="36" fillId="3" borderId="4" xfId="2" quotePrefix="1" applyFont="1" applyFill="1" applyBorder="1" applyAlignment="1">
      <alignment horizontal="left" vertical="top" wrapText="1"/>
    </xf>
    <xf numFmtId="0" fontId="42" fillId="0" borderId="13" xfId="0" applyFont="1" applyBorder="1" applyAlignment="1" applyProtection="1">
      <alignment horizontal="justify" vertical="center" wrapText="1"/>
      <protection locked="0"/>
    </xf>
    <xf numFmtId="0" fontId="42" fillId="3" borderId="0" xfId="0" applyFont="1" applyFill="1"/>
    <xf numFmtId="0" fontId="42" fillId="0" borderId="0" xfId="0" applyFont="1"/>
    <xf numFmtId="0" fontId="43" fillId="0" borderId="0" xfId="0" applyFont="1" applyAlignment="1">
      <alignment horizontal="center" vertical="center"/>
    </xf>
    <xf numFmtId="0" fontId="42" fillId="3" borderId="0" xfId="0" applyFont="1" applyFill="1" applyAlignment="1">
      <alignment vertical="center"/>
    </xf>
    <xf numFmtId="0" fontId="42" fillId="0" borderId="0" xfId="0" applyFont="1" applyAlignment="1">
      <alignment vertical="center"/>
    </xf>
    <xf numFmtId="9" fontId="42" fillId="0" borderId="13" xfId="0" applyNumberFormat="1" applyFont="1" applyBorder="1" applyAlignment="1" applyProtection="1">
      <alignment horizontal="center" vertical="center"/>
      <protection hidden="1"/>
    </xf>
    <xf numFmtId="0" fontId="43" fillId="0" borderId="13" xfId="0" applyFont="1" applyBorder="1" applyAlignment="1" applyProtection="1">
      <alignment horizontal="center" vertical="center" textRotation="90" wrapText="1"/>
      <protection hidden="1"/>
    </xf>
    <xf numFmtId="0" fontId="43" fillId="0" borderId="13" xfId="0" applyFont="1" applyBorder="1" applyAlignment="1" applyProtection="1">
      <alignment horizontal="center" vertical="center" textRotation="90"/>
      <protection hidden="1"/>
    </xf>
    <xf numFmtId="14" fontId="42" fillId="0" borderId="13" xfId="0" applyNumberFormat="1" applyFont="1" applyBorder="1" applyAlignment="1" applyProtection="1">
      <alignment horizontal="center" vertical="center"/>
      <protection locked="0"/>
    </xf>
    <xf numFmtId="0" fontId="42" fillId="0" borderId="13" xfId="0" applyFont="1" applyBorder="1" applyAlignment="1" applyProtection="1">
      <alignment horizontal="center" vertical="center" textRotation="90"/>
      <protection locked="0"/>
    </xf>
    <xf numFmtId="0" fontId="42" fillId="0" borderId="0" xfId="0" applyFont="1" applyAlignment="1">
      <alignment horizontal="center" vertical="center"/>
    </xf>
    <xf numFmtId="0" fontId="42" fillId="0" borderId="0" xfId="0" applyFont="1" applyAlignment="1">
      <alignment horizontal="center"/>
    </xf>
    <xf numFmtId="0" fontId="14" fillId="11" borderId="66" xfId="0" applyFont="1" applyFill="1" applyBorder="1" applyAlignment="1" applyProtection="1">
      <alignment horizontal="center" vertical="center" wrapText="1" readingOrder="1"/>
      <protection hidden="1"/>
    </xf>
    <xf numFmtId="0" fontId="14" fillId="11" borderId="32" xfId="0" applyFont="1" applyFill="1" applyBorder="1" applyAlignment="1" applyProtection="1">
      <alignment horizontal="center" vertical="center" wrapText="1" readingOrder="1"/>
      <protection hidden="1"/>
    </xf>
    <xf numFmtId="0" fontId="14" fillId="11" borderId="67" xfId="0" applyFont="1" applyFill="1" applyBorder="1" applyAlignment="1" applyProtection="1">
      <alignment horizontal="center" vertical="center" wrapText="1" readingOrder="1"/>
      <protection hidden="1"/>
    </xf>
    <xf numFmtId="0" fontId="14" fillId="11" borderId="59" xfId="0" applyFont="1" applyFill="1" applyBorder="1" applyAlignment="1" applyProtection="1">
      <alignment horizontal="center" vertical="center" wrapText="1" readingOrder="1"/>
      <protection hidden="1"/>
    </xf>
    <xf numFmtId="0" fontId="14" fillId="11" borderId="56" xfId="0" applyFont="1" applyFill="1" applyBorder="1" applyAlignment="1" applyProtection="1">
      <alignment horizontal="center" vertical="center" wrapText="1" readingOrder="1"/>
      <protection hidden="1"/>
    </xf>
    <xf numFmtId="0" fontId="14" fillId="11" borderId="55" xfId="0" applyFont="1" applyFill="1" applyBorder="1" applyAlignment="1" applyProtection="1">
      <alignment horizontal="center" vertical="center" wrapText="1" readingOrder="1"/>
      <protection hidden="1"/>
    </xf>
    <xf numFmtId="0" fontId="14" fillId="11" borderId="49" xfId="0" applyFont="1" applyFill="1" applyBorder="1" applyAlignment="1" applyProtection="1">
      <alignment horizontal="center" vertical="center" wrapText="1" readingOrder="1"/>
      <protection hidden="1"/>
    </xf>
    <xf numFmtId="0" fontId="14" fillId="11" borderId="57" xfId="0" applyFont="1" applyFill="1" applyBorder="1" applyAlignment="1" applyProtection="1">
      <alignment horizontal="center" vertical="center" wrapText="1" readingOrder="1"/>
      <protection hidden="1"/>
    </xf>
    <xf numFmtId="0" fontId="14" fillId="12" borderId="66" xfId="0" applyFont="1" applyFill="1" applyBorder="1" applyAlignment="1" applyProtection="1">
      <alignment horizontal="center" wrapText="1" readingOrder="1"/>
      <protection hidden="1"/>
    </xf>
    <xf numFmtId="0" fontId="14" fillId="12" borderId="32" xfId="0" applyFont="1" applyFill="1" applyBorder="1" applyAlignment="1" applyProtection="1">
      <alignment horizontal="center" wrapText="1" readingOrder="1"/>
      <protection hidden="1"/>
    </xf>
    <xf numFmtId="0" fontId="14" fillId="12" borderId="67" xfId="0" applyFont="1" applyFill="1" applyBorder="1" applyAlignment="1" applyProtection="1">
      <alignment horizontal="center" wrapText="1" readingOrder="1"/>
      <protection hidden="1"/>
    </xf>
    <xf numFmtId="0" fontId="14" fillId="12" borderId="59" xfId="0" applyFont="1" applyFill="1" applyBorder="1" applyAlignment="1" applyProtection="1">
      <alignment horizontal="center" wrapText="1" readingOrder="1"/>
      <protection hidden="1"/>
    </xf>
    <xf numFmtId="0" fontId="14" fillId="12" borderId="56" xfId="0" applyFont="1" applyFill="1" applyBorder="1" applyAlignment="1" applyProtection="1">
      <alignment horizontal="center" wrapText="1" readingOrder="1"/>
      <protection hidden="1"/>
    </xf>
    <xf numFmtId="0" fontId="14" fillId="12" borderId="55" xfId="0" applyFont="1" applyFill="1" applyBorder="1" applyAlignment="1" applyProtection="1">
      <alignment horizontal="center" wrapText="1" readingOrder="1"/>
      <protection hidden="1"/>
    </xf>
    <xf numFmtId="0" fontId="14" fillId="12" borderId="49" xfId="0" applyFont="1" applyFill="1" applyBorder="1" applyAlignment="1" applyProtection="1">
      <alignment horizontal="center" wrapText="1" readingOrder="1"/>
      <protection hidden="1"/>
    </xf>
    <xf numFmtId="0" fontId="14" fillId="12" borderId="57" xfId="0" applyFont="1" applyFill="1" applyBorder="1" applyAlignment="1" applyProtection="1">
      <alignment horizontal="center" wrapText="1" readingOrder="1"/>
      <protection hidden="1"/>
    </xf>
    <xf numFmtId="0" fontId="14" fillId="13" borderId="66" xfId="0" applyFont="1" applyFill="1" applyBorder="1" applyAlignment="1" applyProtection="1">
      <alignment horizontal="center" wrapText="1" readingOrder="1"/>
      <protection hidden="1"/>
    </xf>
    <xf numFmtId="0" fontId="14" fillId="13" borderId="32" xfId="0" applyFont="1" applyFill="1" applyBorder="1" applyAlignment="1" applyProtection="1">
      <alignment horizontal="center" wrapText="1" readingOrder="1"/>
      <protection hidden="1"/>
    </xf>
    <xf numFmtId="0" fontId="14" fillId="13" borderId="67" xfId="0" applyFont="1" applyFill="1" applyBorder="1" applyAlignment="1" applyProtection="1">
      <alignment horizontal="center" wrapText="1" readingOrder="1"/>
      <protection hidden="1"/>
    </xf>
    <xf numFmtId="0" fontId="14" fillId="13" borderId="59" xfId="0" applyFont="1" applyFill="1" applyBorder="1" applyAlignment="1" applyProtection="1">
      <alignment horizontal="center" wrapText="1" readingOrder="1"/>
      <protection hidden="1"/>
    </xf>
    <xf numFmtId="0" fontId="14" fillId="13" borderId="56" xfId="0" applyFont="1" applyFill="1" applyBorder="1" applyAlignment="1" applyProtection="1">
      <alignment horizontal="center" wrapText="1" readingOrder="1"/>
      <protection hidden="1"/>
    </xf>
    <xf numFmtId="0" fontId="14" fillId="13" borderId="55" xfId="0" applyFont="1" applyFill="1" applyBorder="1" applyAlignment="1" applyProtection="1">
      <alignment horizontal="center" wrapText="1" readingOrder="1"/>
      <protection hidden="1"/>
    </xf>
    <xf numFmtId="0" fontId="14" fillId="13" borderId="49" xfId="0" applyFont="1" applyFill="1" applyBorder="1" applyAlignment="1" applyProtection="1">
      <alignment horizontal="center" wrapText="1" readingOrder="1"/>
      <protection hidden="1"/>
    </xf>
    <xf numFmtId="0" fontId="14" fillId="13" borderId="57" xfId="0" applyFont="1" applyFill="1" applyBorder="1" applyAlignment="1" applyProtection="1">
      <alignment horizontal="center" wrapText="1" readingOrder="1"/>
      <protection hidden="1"/>
    </xf>
    <xf numFmtId="0" fontId="14" fillId="5" borderId="66" xfId="0" applyFont="1" applyFill="1" applyBorder="1" applyAlignment="1" applyProtection="1">
      <alignment horizontal="center" wrapText="1" readingOrder="1"/>
      <protection hidden="1"/>
    </xf>
    <xf numFmtId="0" fontId="14" fillId="5" borderId="32" xfId="0" applyFont="1" applyFill="1" applyBorder="1" applyAlignment="1" applyProtection="1">
      <alignment horizontal="center" wrapText="1" readingOrder="1"/>
      <protection hidden="1"/>
    </xf>
    <xf numFmtId="0" fontId="14" fillId="5" borderId="67" xfId="0" applyFont="1" applyFill="1" applyBorder="1" applyAlignment="1" applyProtection="1">
      <alignment horizontal="center" wrapText="1" readingOrder="1"/>
      <protection hidden="1"/>
    </xf>
    <xf numFmtId="0" fontId="14" fillId="5" borderId="59" xfId="0" applyFont="1" applyFill="1" applyBorder="1" applyAlignment="1" applyProtection="1">
      <alignment horizontal="center" wrapText="1" readingOrder="1"/>
      <protection hidden="1"/>
    </xf>
    <xf numFmtId="0" fontId="14" fillId="5" borderId="56" xfId="0" applyFont="1" applyFill="1" applyBorder="1" applyAlignment="1" applyProtection="1">
      <alignment horizontal="center" wrapText="1" readingOrder="1"/>
      <protection hidden="1"/>
    </xf>
    <xf numFmtId="0" fontId="14" fillId="5" borderId="55" xfId="0" applyFont="1" applyFill="1" applyBorder="1" applyAlignment="1" applyProtection="1">
      <alignment horizontal="center" wrapText="1" readingOrder="1"/>
      <protection hidden="1"/>
    </xf>
    <xf numFmtId="0" fontId="14" fillId="5" borderId="49" xfId="0" applyFont="1" applyFill="1" applyBorder="1" applyAlignment="1" applyProtection="1">
      <alignment horizontal="center" wrapText="1" readingOrder="1"/>
      <protection hidden="1"/>
    </xf>
    <xf numFmtId="0" fontId="14" fillId="5" borderId="57" xfId="0" applyFont="1" applyFill="1" applyBorder="1" applyAlignment="1" applyProtection="1">
      <alignment horizontal="center" wrapText="1" readingOrder="1"/>
      <protection hidden="1"/>
    </xf>
    <xf numFmtId="0" fontId="18" fillId="13" borderId="32" xfId="0" applyFont="1" applyFill="1" applyBorder="1" applyAlignment="1" applyProtection="1">
      <alignment horizontal="center" wrapText="1" readingOrder="1"/>
      <protection hidden="1"/>
    </xf>
    <xf numFmtId="0" fontId="49" fillId="0" borderId="0" xfId="0" applyFont="1" applyAlignment="1">
      <alignment horizontal="center" vertical="center"/>
    </xf>
    <xf numFmtId="0" fontId="42" fillId="0" borderId="3" xfId="0" applyFont="1" applyBorder="1"/>
    <xf numFmtId="0" fontId="42" fillId="0" borderId="4" xfId="0" applyFont="1" applyBorder="1"/>
    <xf numFmtId="0" fontId="43" fillId="25" borderId="77"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51" fillId="3" borderId="0" xfId="0" applyFont="1" applyFill="1"/>
    <xf numFmtId="0" fontId="42" fillId="0" borderId="13" xfId="0" applyFont="1" applyBorder="1" applyAlignment="1">
      <alignment horizontal="center" vertical="center" wrapText="1"/>
    </xf>
    <xf numFmtId="0" fontId="42" fillId="3" borderId="20" xfId="0" applyFont="1" applyFill="1" applyBorder="1" applyAlignment="1">
      <alignment horizontal="center" vertical="center" wrapText="1"/>
    </xf>
    <xf numFmtId="0" fontId="42" fillId="0" borderId="20" xfId="0" applyFont="1" applyBorder="1" applyAlignment="1">
      <alignment horizontal="center" vertical="center" wrapText="1"/>
    </xf>
    <xf numFmtId="14" fontId="42" fillId="3" borderId="13" xfId="0" applyNumberFormat="1" applyFont="1" applyFill="1" applyBorder="1" applyAlignment="1">
      <alignment horizontal="center" vertical="center" wrapText="1"/>
    </xf>
    <xf numFmtId="0" fontId="50" fillId="0" borderId="0" xfId="0" applyFont="1"/>
    <xf numFmtId="0" fontId="50" fillId="3" borderId="13" xfId="0" applyFont="1" applyFill="1" applyBorder="1" applyAlignment="1" applyProtection="1">
      <alignment horizontal="center" vertical="center"/>
      <protection locked="0"/>
    </xf>
    <xf numFmtId="0" fontId="50" fillId="0" borderId="13" xfId="0" applyFont="1" applyBorder="1" applyAlignment="1">
      <alignment horizontal="center"/>
    </xf>
    <xf numFmtId="0" fontId="50" fillId="19" borderId="13" xfId="0" applyFont="1" applyFill="1" applyBorder="1" applyAlignment="1">
      <alignment horizontal="center"/>
    </xf>
    <xf numFmtId="0" fontId="50" fillId="26" borderId="13" xfId="0" applyFont="1" applyFill="1" applyBorder="1" applyAlignment="1">
      <alignment horizontal="center"/>
    </xf>
    <xf numFmtId="0" fontId="42" fillId="0" borderId="13" xfId="0" applyFont="1" applyBorder="1"/>
    <xf numFmtId="0" fontId="42" fillId="0" borderId="13" xfId="0" applyFont="1" applyBorder="1" applyAlignment="1" applyProtection="1">
      <alignment horizontal="center" vertical="center"/>
      <protection hidden="1"/>
    </xf>
    <xf numFmtId="164" fontId="42" fillId="0" borderId="13" xfId="1" applyNumberFormat="1" applyFont="1" applyBorder="1" applyAlignment="1">
      <alignment horizontal="center" vertical="center"/>
    </xf>
    <xf numFmtId="0" fontId="0" fillId="0" borderId="13" xfId="0" applyBorder="1"/>
    <xf numFmtId="0" fontId="0" fillId="0" borderId="13" xfId="0" applyBorder="1" applyAlignment="1">
      <alignment vertical="top" wrapText="1"/>
    </xf>
    <xf numFmtId="0" fontId="0" fillId="0" borderId="79" xfId="0" applyBorder="1"/>
    <xf numFmtId="0" fontId="0" fillId="0" borderId="13" xfId="0" applyBorder="1" applyAlignment="1">
      <alignment horizontal="justify" vertical="top" wrapText="1"/>
    </xf>
    <xf numFmtId="0" fontId="42" fillId="0" borderId="13" xfId="0" applyFont="1" applyBorder="1" applyAlignment="1" applyProtection="1">
      <alignment horizontal="justify" vertical="top" wrapText="1"/>
      <protection locked="0"/>
    </xf>
    <xf numFmtId="0" fontId="42" fillId="0" borderId="13"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protection locked="0"/>
    </xf>
    <xf numFmtId="0" fontId="43" fillId="0" borderId="83" xfId="0" applyFont="1" applyBorder="1" applyAlignment="1" applyProtection="1">
      <alignment horizontal="center" vertical="center" textRotation="90"/>
      <protection hidden="1"/>
    </xf>
    <xf numFmtId="0" fontId="44" fillId="0" borderId="13" xfId="0" applyFont="1" applyBorder="1" applyAlignment="1" applyProtection="1">
      <alignment horizontal="center" vertical="center" wrapText="1"/>
      <protection locked="0"/>
    </xf>
    <xf numFmtId="9" fontId="42" fillId="0" borderId="13" xfId="0" applyNumberFormat="1" applyFont="1" applyBorder="1" applyAlignment="1" applyProtection="1">
      <alignment horizontal="center" vertical="center" wrapText="1"/>
      <protection hidden="1"/>
    </xf>
    <xf numFmtId="0" fontId="43" fillId="0" borderId="13" xfId="0" applyFont="1" applyBorder="1" applyAlignment="1" applyProtection="1">
      <alignment horizontal="center" vertical="center"/>
      <protection hidden="1"/>
    </xf>
    <xf numFmtId="0" fontId="42" fillId="0" borderId="13"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protection locked="0"/>
    </xf>
    <xf numFmtId="0" fontId="43" fillId="0" borderId="13" xfId="0" applyFont="1" applyBorder="1" applyAlignment="1" applyProtection="1">
      <alignment horizontal="center" vertical="center" wrapText="1"/>
      <protection hidden="1"/>
    </xf>
    <xf numFmtId="0" fontId="42" fillId="0" borderId="13" xfId="0" applyFont="1" applyBorder="1" applyAlignment="1">
      <alignment horizontal="center" vertical="center"/>
    </xf>
    <xf numFmtId="0" fontId="43" fillId="17" borderId="65" xfId="0" applyFont="1" applyFill="1" applyBorder="1" applyAlignment="1">
      <alignment horizontal="center" vertical="center" wrapText="1"/>
    </xf>
    <xf numFmtId="0" fontId="43" fillId="17" borderId="82" xfId="0" applyFont="1" applyFill="1" applyBorder="1" applyAlignment="1">
      <alignment horizontal="center" vertical="center" wrapText="1"/>
    </xf>
    <xf numFmtId="0" fontId="42" fillId="0" borderId="64" xfId="0" applyFont="1" applyBorder="1" applyAlignment="1">
      <alignment horizontal="center" vertical="center"/>
    </xf>
    <xf numFmtId="0" fontId="42" fillId="16" borderId="13" xfId="0" applyFont="1" applyFill="1" applyBorder="1" applyAlignment="1" applyProtection="1">
      <alignment horizontal="center" vertical="center" wrapText="1"/>
      <protection locked="0"/>
    </xf>
    <xf numFmtId="9" fontId="42" fillId="0" borderId="13" xfId="0" applyNumberFormat="1" applyFont="1" applyBorder="1" applyAlignment="1" applyProtection="1">
      <alignment horizontal="center" vertical="center" wrapText="1"/>
      <protection locked="0"/>
    </xf>
    <xf numFmtId="9" fontId="43" fillId="0" borderId="13" xfId="0" applyNumberFormat="1" applyFont="1" applyBorder="1" applyAlignment="1" applyProtection="1">
      <alignment horizontal="center" vertical="center" wrapText="1"/>
      <protection hidden="1"/>
    </xf>
    <xf numFmtId="1" fontId="43" fillId="0" borderId="13" xfId="0" applyNumberFormat="1" applyFont="1" applyBorder="1" applyAlignment="1" applyProtection="1">
      <alignment horizontal="center" vertical="center" wrapText="1"/>
      <protection hidden="1"/>
    </xf>
    <xf numFmtId="9" fontId="43" fillId="0" borderId="13" xfId="0" applyNumberFormat="1" applyFont="1" applyBorder="1" applyAlignment="1" applyProtection="1">
      <alignment horizontal="center" vertical="center"/>
      <protection hidden="1"/>
    </xf>
    <xf numFmtId="0" fontId="43" fillId="19" borderId="65" xfId="0" applyFont="1" applyFill="1" applyBorder="1" applyAlignment="1">
      <alignment horizontal="center" vertical="center" textRotation="90"/>
    </xf>
    <xf numFmtId="0" fontId="42" fillId="3" borderId="13" xfId="0" applyFont="1" applyFill="1" applyBorder="1" applyAlignment="1" applyProtection="1">
      <alignment horizontal="justify" vertical="center" wrapText="1"/>
      <protection locked="0"/>
    </xf>
    <xf numFmtId="14" fontId="42" fillId="0" borderId="13" xfId="0" applyNumberFormat="1" applyFont="1" applyBorder="1" applyAlignment="1" applyProtection="1">
      <alignment horizontal="left" vertical="center" wrapText="1"/>
      <protection locked="0"/>
    </xf>
    <xf numFmtId="1" fontId="42" fillId="0" borderId="13" xfId="0" applyNumberFormat="1" applyFont="1" applyBorder="1" applyAlignment="1">
      <alignment horizontal="center" vertical="center"/>
    </xf>
    <xf numFmtId="14" fontId="42" fillId="0" borderId="13" xfId="0" applyNumberFormat="1" applyFont="1" applyBorder="1" applyAlignment="1" applyProtection="1">
      <alignment horizontal="center" vertical="center" wrapText="1"/>
      <protection locked="0"/>
    </xf>
    <xf numFmtId="0" fontId="54" fillId="0" borderId="32" xfId="4" applyFont="1" applyBorder="1" applyAlignment="1">
      <alignment horizontal="center" vertical="center" wrapText="1"/>
    </xf>
    <xf numFmtId="0" fontId="54" fillId="0" borderId="49" xfId="4" applyFont="1" applyBorder="1" applyAlignment="1">
      <alignment horizontal="center" vertical="center" wrapText="1"/>
    </xf>
    <xf numFmtId="0" fontId="54" fillId="0" borderId="32" xfId="4" applyFont="1" applyBorder="1" applyAlignment="1">
      <alignment vertical="center" wrapText="1"/>
    </xf>
    <xf numFmtId="0" fontId="54" fillId="0" borderId="49" xfId="4" applyFont="1" applyBorder="1" applyAlignment="1">
      <alignment vertical="center" wrapText="1"/>
    </xf>
    <xf numFmtId="0" fontId="42" fillId="0" borderId="80" xfId="0" applyFont="1" applyBorder="1" applyAlignment="1">
      <alignment horizontal="center" vertical="center"/>
    </xf>
    <xf numFmtId="0" fontId="42" fillId="3" borderId="0" xfId="0" applyFont="1" applyFill="1" applyAlignment="1">
      <alignment vertical="center" wrapText="1"/>
    </xf>
    <xf numFmtId="0" fontId="0" fillId="27" borderId="13" xfId="0" applyFill="1" applyBorder="1" applyAlignment="1">
      <alignment horizontal="center" vertical="top"/>
    </xf>
    <xf numFmtId="0" fontId="0" fillId="27" borderId="13" xfId="0" applyFill="1" applyBorder="1" applyAlignment="1">
      <alignment horizontal="center"/>
    </xf>
    <xf numFmtId="0" fontId="0" fillId="27" borderId="80" xfId="0" applyFill="1" applyBorder="1" applyAlignment="1">
      <alignment horizontal="center" vertical="top" wrapText="1"/>
    </xf>
    <xf numFmtId="0" fontId="0" fillId="27" borderId="79" xfId="0" applyFill="1" applyBorder="1" applyAlignment="1">
      <alignment horizontal="center" vertical="top" wrapText="1"/>
    </xf>
    <xf numFmtId="0" fontId="39" fillId="3" borderId="44" xfId="2" applyFont="1" applyFill="1" applyBorder="1" applyAlignment="1">
      <alignment horizontal="justify" vertical="center" wrapText="1"/>
    </xf>
    <xf numFmtId="0" fontId="39" fillId="3" borderId="45" xfId="2" applyFont="1" applyFill="1" applyBorder="1" applyAlignment="1">
      <alignment horizontal="justify" vertical="center" wrapText="1"/>
    </xf>
    <xf numFmtId="0" fontId="38" fillId="3" borderId="51" xfId="0" applyFont="1" applyFill="1" applyBorder="1" applyAlignment="1">
      <alignment horizontal="left" vertical="center" wrapText="1"/>
    </xf>
    <xf numFmtId="0" fontId="38" fillId="3" borderId="52" xfId="0" applyFont="1" applyFill="1" applyBorder="1" applyAlignment="1">
      <alignment horizontal="left" vertical="center" wrapText="1"/>
    </xf>
    <xf numFmtId="0" fontId="38" fillId="3" borderId="38" xfId="3" applyFont="1" applyFill="1" applyBorder="1" applyAlignment="1">
      <alignment horizontal="left" vertical="top" wrapText="1" readingOrder="1"/>
    </xf>
    <xf numFmtId="0" fontId="38" fillId="3" borderId="39" xfId="3" applyFont="1" applyFill="1" applyBorder="1" applyAlignment="1">
      <alignment horizontal="left" vertical="top" wrapText="1" readingOrder="1"/>
    </xf>
    <xf numFmtId="0" fontId="39" fillId="3" borderId="40" xfId="2" applyFont="1" applyFill="1" applyBorder="1" applyAlignment="1">
      <alignment horizontal="justify" vertical="center" wrapText="1"/>
    </xf>
    <xf numFmtId="0" fontId="39" fillId="3" borderId="41" xfId="2" applyFont="1" applyFill="1" applyBorder="1" applyAlignment="1">
      <alignment horizontal="justify" vertical="center" wrapText="1"/>
    </xf>
    <xf numFmtId="0" fontId="38" fillId="3" borderId="42" xfId="0" applyFont="1" applyFill="1" applyBorder="1" applyAlignment="1">
      <alignment horizontal="left" vertical="center" wrapText="1"/>
    </xf>
    <xf numFmtId="0" fontId="38" fillId="3" borderId="43" xfId="0" applyFont="1" applyFill="1" applyBorder="1" applyAlignment="1">
      <alignment horizontal="left" vertical="center" wrapText="1"/>
    </xf>
    <xf numFmtId="0" fontId="33" fillId="3" borderId="3" xfId="2" applyFont="1" applyFill="1" applyBorder="1" applyAlignment="1">
      <alignment horizontal="left" vertical="top" wrapText="1"/>
    </xf>
    <xf numFmtId="0" fontId="33" fillId="3" borderId="0" xfId="2" applyFont="1" applyFill="1" applyAlignment="1">
      <alignment horizontal="left" vertical="top" wrapText="1"/>
    </xf>
    <xf numFmtId="0" fontId="33" fillId="3" borderId="4" xfId="2" applyFont="1" applyFill="1" applyBorder="1" applyAlignment="1">
      <alignment horizontal="left" vertical="top" wrapText="1"/>
    </xf>
    <xf numFmtId="0" fontId="38" fillId="3" borderId="53" xfId="0" applyFont="1" applyFill="1" applyBorder="1" applyAlignment="1">
      <alignment horizontal="left" vertical="center" wrapText="1"/>
    </xf>
    <xf numFmtId="0" fontId="38" fillId="3" borderId="54" xfId="0" applyFont="1" applyFill="1" applyBorder="1" applyAlignment="1">
      <alignment horizontal="left" vertical="center" wrapText="1"/>
    </xf>
    <xf numFmtId="0" fontId="39" fillId="3" borderId="46" xfId="0" applyFont="1" applyFill="1" applyBorder="1" applyAlignment="1">
      <alignment horizontal="justify" vertical="center" wrapText="1"/>
    </xf>
    <xf numFmtId="0" fontId="39" fillId="3" borderId="47" xfId="0" applyFont="1" applyFill="1" applyBorder="1" applyAlignment="1">
      <alignment horizontal="justify" vertical="center" wrapText="1"/>
    </xf>
    <xf numFmtId="0" fontId="34" fillId="14" borderId="28" xfId="2" applyFont="1" applyFill="1" applyBorder="1" applyAlignment="1">
      <alignment horizontal="center" vertical="center" wrapText="1"/>
    </xf>
    <xf numFmtId="0" fontId="34" fillId="14" borderId="29" xfId="2" applyFont="1" applyFill="1" applyBorder="1" applyAlignment="1">
      <alignment horizontal="center" vertical="center" wrapText="1"/>
    </xf>
    <xf numFmtId="0" fontId="34" fillId="14" borderId="30" xfId="2" applyFont="1" applyFill="1" applyBorder="1" applyAlignment="1">
      <alignment horizontal="center" vertical="center" wrapText="1"/>
    </xf>
    <xf numFmtId="0" fontId="33" fillId="0" borderId="3" xfId="2" quotePrefix="1" applyFont="1" applyBorder="1" applyAlignment="1">
      <alignment horizontal="left" vertical="center" wrapText="1"/>
    </xf>
    <xf numFmtId="0" fontId="33" fillId="0" borderId="0" xfId="2" quotePrefix="1" applyFont="1" applyAlignment="1">
      <alignment horizontal="left" vertical="center" wrapText="1"/>
    </xf>
    <xf numFmtId="0" fontId="33" fillId="0" borderId="4" xfId="2" quotePrefix="1" applyFont="1" applyBorder="1" applyAlignment="1">
      <alignment horizontal="left" vertical="center" wrapText="1"/>
    </xf>
    <xf numFmtId="0" fontId="33" fillId="0" borderId="48" xfId="2" quotePrefix="1" applyFont="1" applyBorder="1" applyAlignment="1">
      <alignment horizontal="left" vertical="center" wrapText="1"/>
    </xf>
    <xf numFmtId="0" fontId="33" fillId="0" borderId="49" xfId="2" quotePrefix="1" applyFont="1" applyBorder="1" applyAlignment="1">
      <alignment horizontal="left" vertical="center" wrapText="1"/>
    </xf>
    <xf numFmtId="0" fontId="33" fillId="0" borderId="50" xfId="2" quotePrefix="1" applyFont="1" applyBorder="1" applyAlignment="1">
      <alignment horizontal="left" vertical="center" wrapText="1"/>
    </xf>
    <xf numFmtId="0" fontId="35" fillId="3" borderId="31" xfId="2" quotePrefix="1" applyFont="1" applyFill="1" applyBorder="1" applyAlignment="1">
      <alignment horizontal="left" vertical="top" wrapText="1"/>
    </xf>
    <xf numFmtId="0" fontId="36" fillId="3" borderId="32" xfId="2" quotePrefix="1" applyFont="1" applyFill="1" applyBorder="1" applyAlignment="1">
      <alignment horizontal="left" vertical="top" wrapText="1"/>
    </xf>
    <xf numFmtId="0" fontId="36" fillId="3" borderId="33" xfId="2" quotePrefix="1" applyFont="1" applyFill="1" applyBorder="1" applyAlignment="1">
      <alignment horizontal="left" vertical="top" wrapText="1"/>
    </xf>
    <xf numFmtId="0" fontId="33" fillId="0" borderId="3" xfId="2" quotePrefix="1" applyFont="1" applyBorder="1" applyAlignment="1">
      <alignment horizontal="left" vertical="top" wrapText="1"/>
    </xf>
    <xf numFmtId="0" fontId="33" fillId="0" borderId="0" xfId="2" quotePrefix="1" applyFont="1" applyAlignment="1">
      <alignment horizontal="left" vertical="top" wrapText="1"/>
    </xf>
    <xf numFmtId="0" fontId="33" fillId="0" borderId="4" xfId="2" quotePrefix="1" applyFont="1" applyBorder="1" applyAlignment="1">
      <alignment horizontal="left" vertical="top" wrapText="1"/>
    </xf>
    <xf numFmtId="0" fontId="38" fillId="14" borderId="34" xfId="3" applyFont="1" applyFill="1" applyBorder="1" applyAlignment="1">
      <alignment horizontal="center" vertical="center" wrapText="1"/>
    </xf>
    <xf numFmtId="0" fontId="38" fillId="14" borderId="35" xfId="3" applyFont="1" applyFill="1" applyBorder="1" applyAlignment="1">
      <alignment horizontal="center" vertical="center" wrapText="1"/>
    </xf>
    <xf numFmtId="0" fontId="38" fillId="14" borderId="36" xfId="2" applyFont="1" applyFill="1" applyBorder="1" applyAlignment="1">
      <alignment horizontal="center" vertical="center"/>
    </xf>
    <xf numFmtId="0" fontId="38" fillId="14" borderId="37" xfId="2" applyFont="1" applyFill="1" applyBorder="1" applyAlignment="1">
      <alignment horizontal="center" vertical="center"/>
    </xf>
    <xf numFmtId="0" fontId="1" fillId="3" borderId="48" xfId="2" quotePrefix="1" applyFont="1" applyFill="1" applyBorder="1" applyAlignment="1">
      <alignment horizontal="justify" vertical="center" wrapText="1"/>
    </xf>
    <xf numFmtId="0" fontId="1" fillId="3" borderId="49" xfId="2" quotePrefix="1" applyFont="1" applyFill="1" applyBorder="1" applyAlignment="1">
      <alignment horizontal="justify" vertical="center" wrapText="1"/>
    </xf>
    <xf numFmtId="0" fontId="1" fillId="3" borderId="50" xfId="2" quotePrefix="1" applyFont="1" applyFill="1" applyBorder="1" applyAlignment="1">
      <alignment horizontal="justify" vertical="center" wrapText="1"/>
    </xf>
    <xf numFmtId="0" fontId="53" fillId="0" borderId="13" xfId="4" applyFont="1" applyBorder="1" applyAlignment="1">
      <alignment horizontal="center" vertical="center" wrapText="1"/>
    </xf>
    <xf numFmtId="0" fontId="54" fillId="0" borderId="13" xfId="4" applyFont="1" applyBorder="1" applyAlignment="1">
      <alignment horizontal="center" vertical="center" wrapText="1"/>
    </xf>
    <xf numFmtId="14" fontId="55" fillId="0" borderId="13" xfId="4" applyNumberFormat="1" applyFont="1" applyBorder="1" applyAlignment="1">
      <alignment horizontal="center" vertical="center" wrapText="1"/>
    </xf>
    <xf numFmtId="0" fontId="42" fillId="0" borderId="13" xfId="0" applyFont="1" applyBorder="1" applyAlignment="1" applyProtection="1">
      <alignment horizontal="center" vertical="center"/>
      <protection locked="0"/>
    </xf>
    <xf numFmtId="0" fontId="42" fillId="0" borderId="13" xfId="0" applyFont="1" applyBorder="1" applyAlignment="1">
      <alignment horizontal="center" vertical="center" wrapText="1"/>
    </xf>
    <xf numFmtId="0" fontId="42" fillId="0" borderId="83"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2" fillId="0" borderId="83"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58"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3" fillId="0" borderId="13" xfId="0" applyFont="1" applyBorder="1" applyAlignment="1" applyProtection="1">
      <alignment horizontal="center" vertical="center" wrapText="1"/>
      <protection hidden="1"/>
    </xf>
    <xf numFmtId="9" fontId="42" fillId="0" borderId="13" xfId="0" applyNumberFormat="1" applyFont="1" applyBorder="1" applyAlignment="1" applyProtection="1">
      <alignment horizontal="center" vertical="center" wrapText="1"/>
      <protection hidden="1"/>
    </xf>
    <xf numFmtId="9" fontId="42" fillId="0" borderId="13" xfId="0" applyNumberFormat="1" applyFont="1" applyBorder="1" applyAlignment="1" applyProtection="1">
      <alignment horizontal="center" vertical="center" wrapText="1"/>
      <protection locked="0"/>
    </xf>
    <xf numFmtId="0" fontId="43" fillId="0" borderId="13" xfId="0" applyFont="1" applyBorder="1" applyAlignment="1" applyProtection="1">
      <alignment horizontal="center" vertical="center"/>
      <protection hidden="1"/>
    </xf>
    <xf numFmtId="0" fontId="43" fillId="0" borderId="13" xfId="0" applyFont="1" applyBorder="1" applyAlignment="1" applyProtection="1">
      <alignment horizontal="center" vertical="center" textRotation="90"/>
      <protection hidden="1"/>
    </xf>
    <xf numFmtId="0" fontId="42" fillId="0" borderId="13" xfId="0" applyFont="1" applyBorder="1" applyAlignment="1" applyProtection="1">
      <alignment horizontal="center" vertical="center" textRotation="90"/>
      <protection locked="0"/>
    </xf>
    <xf numFmtId="14" fontId="42" fillId="0" borderId="13" xfId="0" applyNumberFormat="1" applyFont="1" applyBorder="1" applyAlignment="1" applyProtection="1">
      <alignment horizontal="center" vertical="center" wrapText="1"/>
      <protection locked="0"/>
    </xf>
    <xf numFmtId="14" fontId="42" fillId="0" borderId="13" xfId="0" applyNumberFormat="1" applyFont="1" applyBorder="1" applyAlignment="1" applyProtection="1">
      <alignment horizontal="center" vertical="center"/>
      <protection locked="0"/>
    </xf>
    <xf numFmtId="9" fontId="43" fillId="0" borderId="13" xfId="0" applyNumberFormat="1" applyFont="1" applyBorder="1" applyAlignment="1" applyProtection="1">
      <alignment horizontal="center" vertical="center" wrapText="1"/>
      <protection hidden="1"/>
    </xf>
    <xf numFmtId="9" fontId="43" fillId="0" borderId="13" xfId="0" applyNumberFormat="1" applyFont="1" applyBorder="1" applyAlignment="1" applyProtection="1">
      <alignment horizontal="center" vertical="center"/>
      <protection hidden="1"/>
    </xf>
    <xf numFmtId="0" fontId="43" fillId="28" borderId="13" xfId="0" applyFont="1" applyFill="1" applyBorder="1" applyAlignment="1" applyProtection="1">
      <alignment horizontal="center" vertical="center" textRotation="90"/>
      <protection locked="0"/>
    </xf>
    <xf numFmtId="0" fontId="42" fillId="0" borderId="13" xfId="0" applyFont="1" applyBorder="1" applyAlignment="1">
      <alignment horizontal="center" vertical="center"/>
    </xf>
    <xf numFmtId="0" fontId="42" fillId="16" borderId="13" xfId="0" applyFont="1" applyFill="1" applyBorder="1" applyAlignment="1" applyProtection="1">
      <alignment horizontal="center" vertical="center" wrapText="1"/>
      <protection locked="0"/>
    </xf>
    <xf numFmtId="164" fontId="42" fillId="0" borderId="13" xfId="1" applyNumberFormat="1" applyFont="1" applyBorder="1" applyAlignment="1">
      <alignment horizontal="center" vertical="center" textRotation="90"/>
    </xf>
    <xf numFmtId="0" fontId="43" fillId="17" borderId="65" xfId="0" applyFont="1" applyFill="1" applyBorder="1" applyAlignment="1">
      <alignment horizontal="center" vertical="center" textRotation="90"/>
    </xf>
    <xf numFmtId="0" fontId="43" fillId="17" borderId="82" xfId="0" applyFont="1" applyFill="1" applyBorder="1" applyAlignment="1">
      <alignment horizontal="center" vertical="center" textRotation="90"/>
    </xf>
    <xf numFmtId="0" fontId="43" fillId="21" borderId="60" xfId="0" applyFont="1" applyFill="1" applyBorder="1" applyAlignment="1">
      <alignment horizontal="center" vertical="center" wrapText="1"/>
    </xf>
    <xf numFmtId="0" fontId="43" fillId="21" borderId="65" xfId="0" applyFont="1" applyFill="1" applyBorder="1" applyAlignment="1">
      <alignment horizontal="center" vertical="center" wrapText="1"/>
    </xf>
    <xf numFmtId="0" fontId="43" fillId="21" borderId="82" xfId="0" applyFont="1" applyFill="1" applyBorder="1" applyAlignment="1">
      <alignment horizontal="center" vertical="center" wrapText="1"/>
    </xf>
    <xf numFmtId="0" fontId="43" fillId="17" borderId="65" xfId="0" applyFont="1" applyFill="1" applyBorder="1" applyAlignment="1">
      <alignment horizontal="center" vertical="center" wrapText="1"/>
    </xf>
    <xf numFmtId="0" fontId="43" fillId="17" borderId="82" xfId="0" applyFont="1" applyFill="1" applyBorder="1" applyAlignment="1">
      <alignment horizontal="center" vertical="center" wrapText="1"/>
    </xf>
    <xf numFmtId="0" fontId="43" fillId="15" borderId="60" xfId="0" applyFont="1" applyFill="1" applyBorder="1" applyAlignment="1">
      <alignment horizontal="center" vertical="center" wrapText="1"/>
    </xf>
    <xf numFmtId="0" fontId="43" fillId="15" borderId="65" xfId="0" applyFont="1" applyFill="1" applyBorder="1" applyAlignment="1">
      <alignment horizontal="center" vertical="center" wrapText="1"/>
    </xf>
    <xf numFmtId="0" fontId="43" fillId="20" borderId="60" xfId="0" applyFont="1" applyFill="1" applyBorder="1" applyAlignment="1">
      <alignment horizontal="center" vertical="center" textRotation="90" wrapText="1"/>
    </xf>
    <xf numFmtId="0" fontId="43" fillId="20" borderId="65" xfId="0" applyFont="1" applyFill="1" applyBorder="1" applyAlignment="1">
      <alignment horizontal="center" vertical="center" textRotation="90" wrapText="1"/>
    </xf>
    <xf numFmtId="0" fontId="43" fillId="19" borderId="60" xfId="0" applyFont="1" applyFill="1" applyBorder="1" applyAlignment="1">
      <alignment horizontal="center" vertical="center" textRotation="90" wrapText="1"/>
    </xf>
    <xf numFmtId="0" fontId="43" fillId="19" borderId="65" xfId="0" applyFont="1" applyFill="1" applyBorder="1" applyAlignment="1">
      <alignment horizontal="center" vertical="center" textRotation="90" wrapText="1"/>
    </xf>
    <xf numFmtId="0" fontId="43" fillId="0" borderId="60" xfId="0" applyFont="1" applyBorder="1" applyAlignment="1">
      <alignment horizontal="center" vertical="center" textRotation="90" wrapText="1"/>
    </xf>
    <xf numFmtId="0" fontId="43" fillId="0" borderId="65" xfId="0" applyFont="1" applyBorder="1" applyAlignment="1">
      <alignment horizontal="center" vertical="center" textRotation="90" wrapText="1"/>
    </xf>
    <xf numFmtId="0" fontId="43" fillId="2" borderId="84" xfId="0" applyFont="1" applyFill="1" applyBorder="1" applyAlignment="1">
      <alignment horizontal="center" vertical="center"/>
    </xf>
    <xf numFmtId="0" fontId="43" fillId="18" borderId="84" xfId="0" applyFont="1" applyFill="1" applyBorder="1" applyAlignment="1">
      <alignment horizontal="center" vertical="center"/>
    </xf>
    <xf numFmtId="0" fontId="43" fillId="18" borderId="60" xfId="0" applyFont="1" applyFill="1" applyBorder="1" applyAlignment="1">
      <alignment horizontal="center" vertical="center"/>
    </xf>
    <xf numFmtId="0" fontId="43" fillId="22" borderId="84" xfId="0" applyFont="1" applyFill="1" applyBorder="1" applyAlignment="1">
      <alignment horizontal="center" vertical="center"/>
    </xf>
    <xf numFmtId="0" fontId="43" fillId="23" borderId="84" xfId="0" applyFont="1" applyFill="1" applyBorder="1" applyAlignment="1">
      <alignment horizontal="center" vertical="center"/>
    </xf>
    <xf numFmtId="0" fontId="43" fillId="19" borderId="60" xfId="0" applyFont="1" applyFill="1" applyBorder="1" applyAlignment="1">
      <alignment horizontal="center" vertical="center" wrapText="1"/>
    </xf>
    <xf numFmtId="0" fontId="43" fillId="19" borderId="65" xfId="0" applyFont="1" applyFill="1" applyBorder="1" applyAlignment="1">
      <alignment horizontal="center" vertical="center" wrapText="1"/>
    </xf>
    <xf numFmtId="0" fontId="43" fillId="17" borderId="60" xfId="0" applyFont="1" applyFill="1" applyBorder="1" applyAlignment="1">
      <alignment horizontal="center" vertical="center" textRotation="90"/>
    </xf>
    <xf numFmtId="0" fontId="43" fillId="17" borderId="60" xfId="0" applyFont="1" applyFill="1" applyBorder="1" applyAlignment="1">
      <alignment horizontal="center" vertical="center" wrapText="1"/>
    </xf>
    <xf numFmtId="0" fontId="43" fillId="17" borderId="60" xfId="0" applyFont="1" applyFill="1" applyBorder="1" applyAlignment="1">
      <alignment horizontal="center" vertical="center"/>
    </xf>
    <xf numFmtId="0" fontId="43" fillId="17" borderId="65" xfId="0" applyFont="1" applyFill="1" applyBorder="1" applyAlignment="1">
      <alignment horizontal="center" vertical="center"/>
    </xf>
    <xf numFmtId="0" fontId="43" fillId="21" borderId="65" xfId="0" applyFont="1" applyFill="1" applyBorder="1" applyAlignment="1">
      <alignment horizontal="center" vertical="center"/>
    </xf>
    <xf numFmtId="1" fontId="43" fillId="0" borderId="13" xfId="0" applyNumberFormat="1" applyFont="1" applyBorder="1" applyAlignment="1" applyProtection="1">
      <alignment horizontal="center" vertical="center" wrapText="1"/>
      <protection hidden="1"/>
    </xf>
    <xf numFmtId="0" fontId="43" fillId="16" borderId="68" xfId="0" applyFont="1" applyFill="1" applyBorder="1" applyAlignment="1">
      <alignment horizontal="center" vertical="center"/>
    </xf>
    <xf numFmtId="0" fontId="43" fillId="16" borderId="61" xfId="0" applyFont="1" applyFill="1" applyBorder="1" applyAlignment="1">
      <alignment horizontal="center" vertical="center"/>
    </xf>
    <xf numFmtId="0" fontId="43" fillId="16" borderId="69" xfId="0" applyFont="1" applyFill="1" applyBorder="1" applyAlignment="1">
      <alignment horizontal="center" vertical="center"/>
    </xf>
    <xf numFmtId="0" fontId="43" fillId="19" borderId="64" xfId="0" applyFont="1" applyFill="1" applyBorder="1" applyAlignment="1">
      <alignment horizontal="center" vertical="center" wrapText="1"/>
    </xf>
    <xf numFmtId="0" fontId="43" fillId="19" borderId="63" xfId="0" applyFont="1" applyFill="1" applyBorder="1" applyAlignment="1">
      <alignment horizontal="center" vertical="center" wrapText="1"/>
    </xf>
    <xf numFmtId="0" fontId="43" fillId="19" borderId="62" xfId="0" applyFont="1" applyFill="1" applyBorder="1" applyAlignment="1">
      <alignment horizontal="center" vertical="center" wrapText="1"/>
    </xf>
    <xf numFmtId="0" fontId="43" fillId="21" borderId="60" xfId="0" applyFont="1" applyFill="1" applyBorder="1" applyAlignment="1">
      <alignment horizontal="center" vertical="center"/>
    </xf>
    <xf numFmtId="0" fontId="16" fillId="12" borderId="8" xfId="0" applyFont="1" applyFill="1" applyBorder="1" applyAlignment="1">
      <alignment horizontal="center" vertical="center" wrapText="1" readingOrder="1"/>
    </xf>
    <xf numFmtId="0" fontId="16" fillId="12" borderId="9" xfId="0" applyFont="1" applyFill="1" applyBorder="1" applyAlignment="1">
      <alignment horizontal="center" vertical="center" wrapText="1" readingOrder="1"/>
    </xf>
    <xf numFmtId="0" fontId="16" fillId="12" borderId="10" xfId="0" applyFont="1" applyFill="1" applyBorder="1" applyAlignment="1">
      <alignment horizontal="center" vertical="center" wrapText="1" readingOrder="1"/>
    </xf>
    <xf numFmtId="0" fontId="16" fillId="12" borderId="11" xfId="0" applyFont="1" applyFill="1" applyBorder="1" applyAlignment="1">
      <alignment horizontal="center" vertical="center" wrapText="1" readingOrder="1"/>
    </xf>
    <xf numFmtId="0" fontId="16" fillId="12" borderId="0" xfId="0" applyFont="1" applyFill="1" applyAlignment="1">
      <alignment horizontal="center" vertical="center" wrapText="1" readingOrder="1"/>
    </xf>
    <xf numFmtId="0" fontId="16" fillId="12" borderId="12" xfId="0" applyFont="1" applyFill="1" applyBorder="1" applyAlignment="1">
      <alignment horizontal="center" vertical="center" wrapText="1" readingOrder="1"/>
    </xf>
    <xf numFmtId="0" fontId="16" fillId="11" borderId="8" xfId="0" applyFont="1" applyFill="1" applyBorder="1" applyAlignment="1">
      <alignment horizontal="center" vertical="center" wrapText="1" readingOrder="1"/>
    </xf>
    <xf numFmtId="0" fontId="16" fillId="11" borderId="9" xfId="0" applyFont="1" applyFill="1" applyBorder="1" applyAlignment="1">
      <alignment horizontal="center" vertical="center" wrapText="1" readingOrder="1"/>
    </xf>
    <xf numFmtId="0" fontId="16" fillId="11" borderId="10"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0" xfId="0" applyFont="1" applyFill="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3" borderId="8" xfId="0" applyFont="1" applyFill="1" applyBorder="1" applyAlignment="1">
      <alignment horizontal="center" vertical="center" wrapText="1" readingOrder="1"/>
    </xf>
    <xf numFmtId="0" fontId="16" fillId="13" borderId="9" xfId="0" applyFont="1" applyFill="1" applyBorder="1" applyAlignment="1">
      <alignment horizontal="center" vertical="center" wrapText="1" readingOrder="1"/>
    </xf>
    <xf numFmtId="0" fontId="16" fillId="13" borderId="10" xfId="0" applyFont="1" applyFill="1" applyBorder="1" applyAlignment="1">
      <alignment horizontal="center" vertical="center" wrapText="1" readingOrder="1"/>
    </xf>
    <xf numFmtId="0" fontId="16" fillId="13" borderId="11" xfId="0" applyFont="1" applyFill="1" applyBorder="1" applyAlignment="1">
      <alignment horizontal="center" vertical="center" wrapText="1" readingOrder="1"/>
    </xf>
    <xf numFmtId="0" fontId="16" fillId="13" borderId="0" xfId="0" applyFont="1" applyFill="1" applyAlignment="1">
      <alignment horizontal="center" vertical="center" wrapText="1" readingOrder="1"/>
    </xf>
    <xf numFmtId="0" fontId="16" fillId="13" borderId="12" xfId="0" applyFont="1" applyFill="1" applyBorder="1" applyAlignment="1">
      <alignment horizontal="center" vertical="center" wrapText="1" readingOrder="1"/>
    </xf>
    <xf numFmtId="0" fontId="16" fillId="5" borderId="8" xfId="0" applyFont="1" applyFill="1" applyBorder="1" applyAlignment="1">
      <alignment horizontal="center" vertical="center" wrapText="1" readingOrder="1"/>
    </xf>
    <xf numFmtId="0" fontId="16" fillId="5" borderId="9" xfId="0" applyFont="1" applyFill="1" applyBorder="1" applyAlignment="1">
      <alignment horizontal="center" vertical="center" wrapText="1" readingOrder="1"/>
    </xf>
    <xf numFmtId="0" fontId="16" fillId="5" borderId="10" xfId="0" applyFont="1" applyFill="1" applyBorder="1" applyAlignment="1">
      <alignment horizontal="center" vertical="center" wrapText="1" readingOrder="1"/>
    </xf>
    <xf numFmtId="0" fontId="16" fillId="5" borderId="11" xfId="0" applyFont="1" applyFill="1" applyBorder="1" applyAlignment="1">
      <alignment horizontal="center" vertical="center" wrapText="1" readingOrder="1"/>
    </xf>
    <xf numFmtId="0" fontId="16" fillId="5" borderId="0" xfId="0" applyFont="1" applyFill="1" applyAlignment="1">
      <alignment horizontal="center" vertical="center" wrapText="1" readingOrder="1"/>
    </xf>
    <xf numFmtId="0" fontId="16" fillId="5" borderId="12" xfId="0" applyFont="1" applyFill="1" applyBorder="1" applyAlignment="1">
      <alignment horizontal="center" vertical="center" wrapText="1" readingOrder="1"/>
    </xf>
    <xf numFmtId="0" fontId="47" fillId="0" borderId="13" xfId="0" applyFont="1" applyBorder="1" applyAlignment="1">
      <alignment horizontal="center" vertical="center" wrapText="1"/>
    </xf>
    <xf numFmtId="0" fontId="47" fillId="0" borderId="13" xfId="0" applyFont="1" applyBorder="1" applyAlignment="1">
      <alignment horizontal="center" vertical="center"/>
    </xf>
    <xf numFmtId="0" fontId="45" fillId="0" borderId="13" xfId="0" applyFont="1" applyBorder="1" applyAlignment="1">
      <alignment horizontal="center" vertical="center" wrapText="1"/>
    </xf>
    <xf numFmtId="0" fontId="45" fillId="0" borderId="13" xfId="0" applyFont="1" applyBorder="1" applyAlignment="1">
      <alignment horizontal="center" vertical="center"/>
    </xf>
    <xf numFmtId="0" fontId="15" fillId="11" borderId="66" xfId="0" applyFont="1" applyFill="1" applyBorder="1" applyAlignment="1" applyProtection="1">
      <alignment horizontal="center" vertical="center" wrapText="1" readingOrder="1"/>
      <protection hidden="1"/>
    </xf>
    <xf numFmtId="0" fontId="15" fillId="11" borderId="32" xfId="0" applyFont="1" applyFill="1" applyBorder="1" applyAlignment="1" applyProtection="1">
      <alignment horizontal="center" vertical="center" wrapText="1" readingOrder="1"/>
      <protection hidden="1"/>
    </xf>
    <xf numFmtId="0" fontId="15" fillId="11" borderId="59" xfId="0" applyFont="1" applyFill="1" applyBorder="1" applyAlignment="1" applyProtection="1">
      <alignment horizontal="center" vertical="center" wrapText="1" readingOrder="1"/>
      <protection hidden="1"/>
    </xf>
    <xf numFmtId="0" fontId="15" fillId="11" borderId="0" xfId="0" applyFont="1" applyFill="1" applyAlignment="1" applyProtection="1">
      <alignment horizontal="center" vertical="center" wrapText="1" readingOrder="1"/>
      <protection hidden="1"/>
    </xf>
    <xf numFmtId="0" fontId="15" fillId="11" borderId="67" xfId="0" applyFont="1" applyFill="1" applyBorder="1" applyAlignment="1" applyProtection="1">
      <alignment horizontal="center" vertical="center" wrapText="1" readingOrder="1"/>
      <protection hidden="1"/>
    </xf>
    <xf numFmtId="0" fontId="15" fillId="11" borderId="56" xfId="0" applyFont="1" applyFill="1" applyBorder="1" applyAlignment="1" applyProtection="1">
      <alignment horizontal="center" vertical="center" wrapText="1" readingOrder="1"/>
      <protection hidden="1"/>
    </xf>
    <xf numFmtId="0" fontId="15" fillId="11" borderId="55" xfId="0" applyFont="1" applyFill="1" applyBorder="1" applyAlignment="1" applyProtection="1">
      <alignment horizontal="center" vertical="center" wrapText="1" readingOrder="1"/>
      <protection hidden="1"/>
    </xf>
    <xf numFmtId="0" fontId="15" fillId="11" borderId="49" xfId="0" applyFont="1" applyFill="1" applyBorder="1" applyAlignment="1" applyProtection="1">
      <alignment horizontal="center" vertical="center" wrapText="1" readingOrder="1"/>
      <protection hidden="1"/>
    </xf>
    <xf numFmtId="0" fontId="15" fillId="11" borderId="57" xfId="0" applyFont="1" applyFill="1" applyBorder="1" applyAlignment="1" applyProtection="1">
      <alignment horizontal="center" vertical="center" wrapText="1" readingOrder="1"/>
      <protection hidden="1"/>
    </xf>
    <xf numFmtId="0" fontId="46" fillId="0" borderId="13" xfId="0" applyFont="1" applyBorder="1" applyAlignment="1">
      <alignment horizontal="center" vertical="center" wrapText="1"/>
    </xf>
    <xf numFmtId="0" fontId="46" fillId="0" borderId="13" xfId="0" applyFont="1" applyBorder="1" applyAlignment="1">
      <alignment horizontal="center" vertical="center"/>
    </xf>
    <xf numFmtId="0" fontId="13" fillId="10" borderId="0" xfId="0" applyFont="1" applyFill="1" applyAlignment="1">
      <alignment horizontal="center" vertical="center" wrapText="1" readingOrder="1"/>
    </xf>
    <xf numFmtId="0" fontId="15" fillId="12" borderId="66" xfId="0" applyFont="1" applyFill="1" applyBorder="1" applyAlignment="1" applyProtection="1">
      <alignment horizontal="center" wrapText="1" readingOrder="1"/>
      <protection hidden="1"/>
    </xf>
    <xf numFmtId="0" fontId="15" fillId="12" borderId="32" xfId="0" applyFont="1" applyFill="1" applyBorder="1" applyAlignment="1" applyProtection="1">
      <alignment horizontal="center" wrapText="1" readingOrder="1"/>
      <protection hidden="1"/>
    </xf>
    <xf numFmtId="0" fontId="15" fillId="12" borderId="59" xfId="0" applyFont="1" applyFill="1" applyBorder="1" applyAlignment="1" applyProtection="1">
      <alignment horizontal="center" wrapText="1" readingOrder="1"/>
      <protection hidden="1"/>
    </xf>
    <xf numFmtId="0" fontId="15" fillId="12" borderId="0" xfId="0" applyFont="1" applyFill="1" applyAlignment="1" applyProtection="1">
      <alignment horizontal="center" wrapText="1" readingOrder="1"/>
      <protection hidden="1"/>
    </xf>
    <xf numFmtId="0" fontId="15" fillId="12" borderId="67" xfId="0" applyFont="1" applyFill="1" applyBorder="1" applyAlignment="1" applyProtection="1">
      <alignment horizontal="center" wrapText="1" readingOrder="1"/>
      <protection hidden="1"/>
    </xf>
    <xf numFmtId="0" fontId="15" fillId="12" borderId="56" xfId="0" applyFont="1" applyFill="1" applyBorder="1" applyAlignment="1" applyProtection="1">
      <alignment horizontal="center" wrapText="1" readingOrder="1"/>
      <protection hidden="1"/>
    </xf>
    <xf numFmtId="0" fontId="15" fillId="12" borderId="55" xfId="0" applyFont="1" applyFill="1" applyBorder="1" applyAlignment="1" applyProtection="1">
      <alignment horizontal="center" wrapText="1" readingOrder="1"/>
      <protection hidden="1"/>
    </xf>
    <xf numFmtId="0" fontId="15" fillId="12" borderId="49" xfId="0" applyFont="1" applyFill="1" applyBorder="1" applyAlignment="1" applyProtection="1">
      <alignment horizontal="center" wrapText="1" readingOrder="1"/>
      <protection hidden="1"/>
    </xf>
    <xf numFmtId="0" fontId="15" fillId="12" borderId="57" xfId="0" applyFont="1" applyFill="1" applyBorder="1" applyAlignment="1" applyProtection="1">
      <alignment horizontal="center" wrapText="1" readingOrder="1"/>
      <protection hidden="1"/>
    </xf>
    <xf numFmtId="0" fontId="15" fillId="13" borderId="66" xfId="0" applyFont="1" applyFill="1" applyBorder="1" applyAlignment="1" applyProtection="1">
      <alignment horizontal="center" wrapText="1" readingOrder="1"/>
      <protection hidden="1"/>
    </xf>
    <xf numFmtId="0" fontId="15" fillId="13" borderId="32" xfId="0" applyFont="1" applyFill="1" applyBorder="1" applyAlignment="1" applyProtection="1">
      <alignment horizontal="center" wrapText="1" readingOrder="1"/>
      <protection hidden="1"/>
    </xf>
    <xf numFmtId="0" fontId="15" fillId="13" borderId="59" xfId="0" applyFont="1" applyFill="1" applyBorder="1" applyAlignment="1" applyProtection="1">
      <alignment horizontal="center" wrapText="1" readingOrder="1"/>
      <protection hidden="1"/>
    </xf>
    <xf numFmtId="0" fontId="15" fillId="13" borderId="0" xfId="0" applyFont="1" applyFill="1" applyAlignment="1" applyProtection="1">
      <alignment horizontal="center" wrapText="1" readingOrder="1"/>
      <protection hidden="1"/>
    </xf>
    <xf numFmtId="0" fontId="15" fillId="13" borderId="67" xfId="0" applyFont="1" applyFill="1" applyBorder="1" applyAlignment="1" applyProtection="1">
      <alignment horizontal="center" wrapText="1" readingOrder="1"/>
      <protection hidden="1"/>
    </xf>
    <xf numFmtId="0" fontId="15" fillId="13" borderId="56" xfId="0" applyFont="1" applyFill="1" applyBorder="1" applyAlignment="1" applyProtection="1">
      <alignment horizontal="center" wrapText="1" readingOrder="1"/>
      <protection hidden="1"/>
    </xf>
    <xf numFmtId="0" fontId="15" fillId="13" borderId="55" xfId="0" applyFont="1" applyFill="1" applyBorder="1" applyAlignment="1" applyProtection="1">
      <alignment horizontal="center" wrapText="1" readingOrder="1"/>
      <protection hidden="1"/>
    </xf>
    <xf numFmtId="0" fontId="15" fillId="13" borderId="49" xfId="0" applyFont="1" applyFill="1" applyBorder="1" applyAlignment="1" applyProtection="1">
      <alignment horizontal="center" wrapText="1" readingOrder="1"/>
      <protection hidden="1"/>
    </xf>
    <xf numFmtId="0" fontId="15" fillId="13" borderId="57"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15" fillId="5" borderId="66" xfId="0" applyFont="1" applyFill="1" applyBorder="1" applyAlignment="1" applyProtection="1">
      <alignment horizontal="center" wrapText="1" readingOrder="1"/>
      <protection hidden="1"/>
    </xf>
    <xf numFmtId="0" fontId="15" fillId="5" borderId="32" xfId="0" applyFont="1" applyFill="1" applyBorder="1" applyAlignment="1" applyProtection="1">
      <alignment horizontal="center" wrapText="1" readingOrder="1"/>
      <protection hidden="1"/>
    </xf>
    <xf numFmtId="0" fontId="15" fillId="5" borderId="59" xfId="0" applyFont="1" applyFill="1" applyBorder="1" applyAlignment="1" applyProtection="1">
      <alignment horizontal="center" wrapText="1" readingOrder="1"/>
      <protection hidden="1"/>
    </xf>
    <xf numFmtId="0" fontId="15" fillId="5" borderId="0" xfId="0" applyFont="1" applyFill="1" applyAlignment="1" applyProtection="1">
      <alignment horizontal="center" wrapText="1" readingOrder="1"/>
      <protection hidden="1"/>
    </xf>
    <xf numFmtId="0" fontId="15" fillId="5" borderId="67" xfId="0" applyFont="1" applyFill="1" applyBorder="1" applyAlignment="1" applyProtection="1">
      <alignment horizontal="center" wrapText="1" readingOrder="1"/>
      <protection hidden="1"/>
    </xf>
    <xf numFmtId="0" fontId="15" fillId="5" borderId="56" xfId="0" applyFont="1" applyFill="1" applyBorder="1" applyAlignment="1" applyProtection="1">
      <alignment horizontal="center" wrapText="1" readingOrder="1"/>
      <protection hidden="1"/>
    </xf>
    <xf numFmtId="0" fontId="15" fillId="5" borderId="55" xfId="0" applyFont="1" applyFill="1" applyBorder="1" applyAlignment="1" applyProtection="1">
      <alignment horizontal="center" wrapText="1" readingOrder="1"/>
      <protection hidden="1"/>
    </xf>
    <xf numFmtId="0" fontId="15" fillId="5" borderId="49" xfId="0" applyFont="1" applyFill="1" applyBorder="1" applyAlignment="1" applyProtection="1">
      <alignment horizontal="center" wrapText="1" readingOrder="1"/>
      <protection hidden="1"/>
    </xf>
    <xf numFmtId="0" fontId="15" fillId="5" borderId="57" xfId="0" applyFont="1" applyFill="1" applyBorder="1" applyAlignment="1" applyProtection="1">
      <alignment horizontal="center" wrapText="1" readingOrder="1"/>
      <protection hidden="1"/>
    </xf>
    <xf numFmtId="0" fontId="13" fillId="10" borderId="0" xfId="0" applyFont="1" applyFill="1" applyAlignment="1">
      <alignment horizontal="center" vertical="center" textRotation="90" wrapText="1" readingOrder="1"/>
    </xf>
    <xf numFmtId="0" fontId="28" fillId="11" borderId="8" xfId="0" applyFont="1" applyFill="1" applyBorder="1" applyAlignment="1">
      <alignment horizontal="center" vertical="center" wrapText="1" readingOrder="1"/>
    </xf>
    <xf numFmtId="0" fontId="28" fillId="11" borderId="9" xfId="0" applyFont="1" applyFill="1" applyBorder="1" applyAlignment="1">
      <alignment horizontal="center" vertical="center" wrapText="1" readingOrder="1"/>
    </xf>
    <xf numFmtId="0" fontId="28" fillId="11" borderId="10" xfId="0" applyFont="1" applyFill="1" applyBorder="1" applyAlignment="1">
      <alignment horizontal="center" vertical="center" wrapText="1" readingOrder="1"/>
    </xf>
    <xf numFmtId="0" fontId="28" fillId="11" borderId="11" xfId="0" applyFont="1" applyFill="1" applyBorder="1" applyAlignment="1">
      <alignment horizontal="center" vertical="center" wrapText="1" readingOrder="1"/>
    </xf>
    <xf numFmtId="0" fontId="28" fillId="11" borderId="0" xfId="0" applyFont="1" applyFill="1" applyAlignment="1">
      <alignment horizontal="center" vertical="center" wrapText="1" readingOrder="1"/>
    </xf>
    <xf numFmtId="0" fontId="28" fillId="11" borderId="12" xfId="0" applyFont="1" applyFill="1" applyBorder="1" applyAlignment="1">
      <alignment horizontal="center" vertical="center" wrapText="1" readingOrder="1"/>
    </xf>
    <xf numFmtId="0" fontId="48" fillId="0" borderId="13" xfId="0" applyFont="1" applyBorder="1" applyAlignment="1">
      <alignment horizontal="center" vertical="center" wrapText="1"/>
    </xf>
    <xf numFmtId="0" fontId="48" fillId="0" borderId="13" xfId="0" applyFont="1" applyBorder="1" applyAlignment="1">
      <alignment horizontal="center" vertical="center"/>
    </xf>
    <xf numFmtId="0" fontId="28" fillId="12" borderId="8" xfId="0" applyFont="1" applyFill="1" applyBorder="1" applyAlignment="1">
      <alignment horizontal="center" vertical="center" wrapText="1" readingOrder="1"/>
    </xf>
    <xf numFmtId="0" fontId="28" fillId="12" borderId="9" xfId="0" applyFont="1" applyFill="1" applyBorder="1" applyAlignment="1">
      <alignment horizontal="center" vertical="center" wrapText="1" readingOrder="1"/>
    </xf>
    <xf numFmtId="0" fontId="28" fillId="12" borderId="10" xfId="0" applyFont="1" applyFill="1" applyBorder="1" applyAlignment="1">
      <alignment horizontal="center" vertical="center" wrapText="1" readingOrder="1"/>
    </xf>
    <xf numFmtId="0" fontId="28" fillId="12" borderId="11" xfId="0" applyFont="1" applyFill="1" applyBorder="1" applyAlignment="1">
      <alignment horizontal="center" vertical="center" wrapText="1" readingOrder="1"/>
    </xf>
    <xf numFmtId="0" fontId="28" fillId="12" borderId="0" xfId="0" applyFont="1" applyFill="1" applyAlignment="1">
      <alignment horizontal="center" vertical="center" wrapText="1" readingOrder="1"/>
    </xf>
    <xf numFmtId="0" fontId="28" fillId="12" borderId="12" xfId="0" applyFont="1" applyFill="1" applyBorder="1" applyAlignment="1">
      <alignment horizontal="center" vertical="center" wrapText="1" readingOrder="1"/>
    </xf>
    <xf numFmtId="0" fontId="27" fillId="0" borderId="0" xfId="0" applyFont="1" applyAlignment="1">
      <alignment horizontal="center" vertical="center" wrapText="1"/>
    </xf>
    <xf numFmtId="0" fontId="17" fillId="0" borderId="0" xfId="0" applyFont="1" applyAlignment="1">
      <alignment horizontal="center" vertical="center" wrapText="1"/>
    </xf>
    <xf numFmtId="0" fontId="28" fillId="5" borderId="8" xfId="0" applyFont="1" applyFill="1" applyBorder="1" applyAlignment="1">
      <alignment horizontal="center" vertical="center" wrapText="1" readingOrder="1"/>
    </xf>
    <xf numFmtId="0" fontId="28" fillId="5" borderId="9" xfId="0" applyFont="1" applyFill="1" applyBorder="1" applyAlignment="1">
      <alignment horizontal="center" vertical="center" wrapText="1" readingOrder="1"/>
    </xf>
    <xf numFmtId="0" fontId="28" fillId="5" borderId="10" xfId="0" applyFont="1" applyFill="1" applyBorder="1" applyAlignment="1">
      <alignment horizontal="center" vertical="center" wrapText="1" readingOrder="1"/>
    </xf>
    <xf numFmtId="0" fontId="28" fillId="5" borderId="11" xfId="0" applyFont="1" applyFill="1" applyBorder="1" applyAlignment="1">
      <alignment horizontal="center" vertical="center" wrapText="1" readingOrder="1"/>
    </xf>
    <xf numFmtId="0" fontId="28" fillId="5" borderId="0" xfId="0" applyFont="1" applyFill="1" applyAlignment="1">
      <alignment horizontal="center" vertical="center" wrapText="1" readingOrder="1"/>
    </xf>
    <xf numFmtId="0" fontId="28" fillId="5" borderId="12" xfId="0" applyFont="1" applyFill="1" applyBorder="1" applyAlignment="1">
      <alignment horizontal="center" vertical="center" wrapText="1" readingOrder="1"/>
    </xf>
    <xf numFmtId="0" fontId="28" fillId="13" borderId="8" xfId="0" applyFont="1" applyFill="1" applyBorder="1" applyAlignment="1">
      <alignment horizontal="center" vertical="center" wrapText="1" readingOrder="1"/>
    </xf>
    <xf numFmtId="0" fontId="28" fillId="13" borderId="9" xfId="0" applyFont="1" applyFill="1" applyBorder="1" applyAlignment="1">
      <alignment horizontal="center" vertical="center" wrapText="1" readingOrder="1"/>
    </xf>
    <xf numFmtId="0" fontId="28" fillId="13" borderId="10" xfId="0" applyFont="1" applyFill="1" applyBorder="1" applyAlignment="1">
      <alignment horizontal="center" vertical="center" wrapText="1" readingOrder="1"/>
    </xf>
    <xf numFmtId="0" fontId="28" fillId="13" borderId="11" xfId="0" applyFont="1" applyFill="1" applyBorder="1" applyAlignment="1">
      <alignment horizontal="center" vertical="center" wrapText="1" readingOrder="1"/>
    </xf>
    <xf numFmtId="0" fontId="28" fillId="13" borderId="0" xfId="0" applyFont="1" applyFill="1" applyAlignment="1">
      <alignment horizontal="center" vertical="center" wrapText="1" readingOrder="1"/>
    </xf>
    <xf numFmtId="0" fontId="28" fillId="13" borderId="12" xfId="0" applyFont="1" applyFill="1" applyBorder="1" applyAlignment="1">
      <alignment horizontal="center" vertical="center" wrapText="1" readingOrder="1"/>
    </xf>
    <xf numFmtId="0" fontId="19" fillId="0" borderId="0" xfId="0" applyFont="1" applyAlignment="1">
      <alignment horizontal="center" vertical="center"/>
    </xf>
    <xf numFmtId="0" fontId="50" fillId="3" borderId="80" xfId="0" applyFont="1" applyFill="1" applyBorder="1" applyAlignment="1" applyProtection="1">
      <alignment horizontal="left"/>
      <protection locked="0"/>
    </xf>
    <xf numFmtId="0" fontId="50" fillId="3" borderId="81" xfId="0" applyFont="1" applyFill="1" applyBorder="1" applyAlignment="1" applyProtection="1">
      <alignment horizontal="left"/>
      <protection locked="0"/>
    </xf>
    <xf numFmtId="0" fontId="50" fillId="3" borderId="79" xfId="0" applyFont="1" applyFill="1" applyBorder="1" applyAlignment="1" applyProtection="1">
      <alignment horizontal="left"/>
      <protection locked="0"/>
    </xf>
    <xf numFmtId="0" fontId="50" fillId="26" borderId="13" xfId="0" applyFont="1" applyFill="1" applyBorder="1" applyAlignment="1">
      <alignment horizontal="center" wrapText="1"/>
    </xf>
    <xf numFmtId="0" fontId="50" fillId="26" borderId="13" xfId="0" applyFont="1" applyFill="1" applyBorder="1" applyAlignment="1">
      <alignment horizontal="center"/>
    </xf>
    <xf numFmtId="0" fontId="50" fillId="3" borderId="80" xfId="0" applyFont="1" applyFill="1" applyBorder="1" applyAlignment="1" applyProtection="1">
      <alignment horizontal="left" wrapText="1"/>
      <protection locked="0"/>
    </xf>
    <xf numFmtId="0" fontId="50" fillId="17" borderId="13" xfId="0" applyFont="1" applyFill="1" applyBorder="1" applyAlignment="1">
      <alignment horizontal="center"/>
    </xf>
    <xf numFmtId="0" fontId="50" fillId="17" borderId="13" xfId="0" applyFont="1" applyFill="1" applyBorder="1" applyAlignment="1">
      <alignment horizontal="center" vertical="center" wrapText="1"/>
    </xf>
    <xf numFmtId="0" fontId="50" fillId="0" borderId="13" xfId="0" applyFont="1" applyBorder="1" applyAlignment="1">
      <alignment horizontal="center"/>
    </xf>
    <xf numFmtId="0" fontId="50" fillId="0" borderId="80" xfId="0" applyFont="1" applyBorder="1" applyAlignment="1">
      <alignment horizontal="center"/>
    </xf>
    <xf numFmtId="0" fontId="50" fillId="0" borderId="81" xfId="0" applyFont="1" applyBorder="1" applyAlignment="1">
      <alignment horizontal="center"/>
    </xf>
    <xf numFmtId="0" fontId="50" fillId="0" borderId="79" xfId="0" applyFont="1" applyBorder="1" applyAlignment="1">
      <alignment horizontal="center"/>
    </xf>
    <xf numFmtId="0" fontId="50" fillId="26" borderId="13" xfId="0" applyFont="1" applyFill="1" applyBorder="1" applyAlignment="1">
      <alignment horizontal="center" vertical="center"/>
    </xf>
    <xf numFmtId="0" fontId="50" fillId="17" borderId="13" xfId="0" applyFont="1" applyFill="1" applyBorder="1" applyAlignment="1">
      <alignment horizontal="center" vertical="center"/>
    </xf>
    <xf numFmtId="0" fontId="26" fillId="15" borderId="15" xfId="0" applyFont="1" applyFill="1" applyBorder="1" applyAlignment="1">
      <alignment horizontal="center" vertical="center" wrapText="1" readingOrder="1"/>
    </xf>
    <xf numFmtId="0" fontId="26" fillId="15" borderId="16" xfId="0" applyFont="1" applyFill="1" applyBorder="1" applyAlignment="1">
      <alignment horizontal="center" vertical="center" wrapText="1" readingOrder="1"/>
    </xf>
    <xf numFmtId="0" fontId="26" fillId="15" borderId="27" xfId="0" applyFont="1" applyFill="1" applyBorder="1" applyAlignment="1">
      <alignment horizontal="center" vertical="center" wrapText="1" readingOrder="1"/>
    </xf>
    <xf numFmtId="0" fontId="21" fillId="3" borderId="0" xfId="0" applyFont="1" applyFill="1" applyAlignment="1">
      <alignment horizontal="justify" vertical="center" wrapText="1"/>
    </xf>
    <xf numFmtId="0" fontId="23" fillId="15" borderId="24" xfId="0" applyFont="1" applyFill="1" applyBorder="1" applyAlignment="1">
      <alignment horizontal="center" vertical="center" wrapText="1" readingOrder="1"/>
    </xf>
    <xf numFmtId="0" fontId="23" fillId="15" borderId="25"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7" xfId="0" applyFont="1" applyFill="1" applyBorder="1" applyAlignment="1">
      <alignment horizontal="center" vertical="center" wrapText="1" readingOrder="1"/>
    </xf>
    <xf numFmtId="0" fontId="23" fillId="3" borderId="14" xfId="0"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20" xfId="0" applyFont="1" applyFill="1" applyBorder="1" applyAlignment="1">
      <alignment horizontal="center" vertical="center" wrapText="1" readingOrder="1"/>
    </xf>
    <xf numFmtId="0" fontId="42" fillId="3" borderId="72" xfId="0" applyFont="1" applyFill="1" applyBorder="1" applyAlignment="1">
      <alignment horizontal="center" vertical="center" wrapText="1"/>
    </xf>
    <xf numFmtId="0" fontId="42" fillId="3" borderId="73"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2" fillId="3" borderId="21" xfId="0" applyFont="1" applyFill="1" applyBorder="1" applyAlignment="1">
      <alignment horizontal="center" vertical="center" wrapText="1"/>
    </xf>
    <xf numFmtId="0" fontId="42" fillId="3" borderId="78" xfId="0" applyFont="1" applyFill="1" applyBorder="1" applyAlignment="1">
      <alignment horizontal="center" vertical="center" wrapText="1"/>
    </xf>
    <xf numFmtId="0" fontId="42" fillId="3" borderId="79"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9" fillId="0" borderId="28" xfId="0" applyFont="1" applyBorder="1" applyAlignment="1">
      <alignment horizontal="center" vertical="center"/>
    </xf>
    <xf numFmtId="0" fontId="49" fillId="0" borderId="70" xfId="0" applyFont="1" applyBorder="1" applyAlignment="1">
      <alignment horizontal="center" vertical="center"/>
    </xf>
    <xf numFmtId="0" fontId="49" fillId="0" borderId="71" xfId="0" applyFont="1" applyBorder="1" applyAlignment="1">
      <alignment horizontal="center" vertical="center"/>
    </xf>
    <xf numFmtId="0" fontId="49" fillId="0" borderId="29" xfId="0" applyFont="1" applyBorder="1" applyAlignment="1">
      <alignment horizontal="center" vertical="center"/>
    </xf>
    <xf numFmtId="0" fontId="49" fillId="0" borderId="30" xfId="0" applyFont="1" applyBorder="1" applyAlignment="1">
      <alignment horizontal="center" vertical="center"/>
    </xf>
    <xf numFmtId="0" fontId="49" fillId="0" borderId="72" xfId="0" applyFont="1" applyBorder="1" applyAlignment="1">
      <alignment horizontal="center" vertical="center" wrapText="1"/>
    </xf>
    <xf numFmtId="0" fontId="49" fillId="0" borderId="73"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75" xfId="0" applyFont="1" applyBorder="1" applyAlignment="1">
      <alignment horizontal="center" vertical="center" wrapText="1"/>
    </xf>
    <xf numFmtId="0" fontId="49" fillId="0" borderId="76" xfId="0" applyFont="1" applyBorder="1" applyAlignment="1">
      <alignment horizontal="center" vertical="center" wrapText="1"/>
    </xf>
    <xf numFmtId="0" fontId="43" fillId="24" borderId="15" xfId="0" applyFont="1" applyFill="1" applyBorder="1" applyAlignment="1">
      <alignment horizontal="center" vertical="center" wrapText="1"/>
    </xf>
    <xf numFmtId="0" fontId="43" fillId="24" borderId="16" xfId="0" applyFont="1" applyFill="1" applyBorder="1" applyAlignment="1">
      <alignment horizontal="center" vertical="center" wrapText="1"/>
    </xf>
    <xf numFmtId="0" fontId="43" fillId="24" borderId="27"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3" fillId="25" borderId="27" xfId="0" applyFont="1" applyFill="1" applyBorder="1" applyAlignment="1">
      <alignment horizontal="center" vertical="center" wrapText="1"/>
    </xf>
    <xf numFmtId="0" fontId="43" fillId="25" borderId="24" xfId="0" applyFont="1" applyFill="1" applyBorder="1" applyAlignment="1">
      <alignment horizontal="center" vertical="center" wrapText="1"/>
    </xf>
    <xf numFmtId="0" fontId="43" fillId="25" borderId="25" xfId="0" applyFont="1" applyFill="1" applyBorder="1" applyAlignment="1">
      <alignment horizontal="center" vertical="center" wrapText="1"/>
    </xf>
    <xf numFmtId="0" fontId="43" fillId="25" borderId="26"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3" borderId="57" xfId="0" applyFont="1" applyFill="1" applyBorder="1" applyAlignment="1">
      <alignment horizontal="center" vertical="center" wrapText="1"/>
    </xf>
    <xf numFmtId="0" fontId="42" fillId="0" borderId="71" xfId="0" applyFont="1" applyBorder="1" applyAlignment="1">
      <alignment horizontal="center"/>
    </xf>
    <xf numFmtId="0" fontId="42" fillId="0" borderId="29" xfId="0" applyFont="1" applyBorder="1" applyAlignment="1">
      <alignment horizontal="center"/>
    </xf>
    <xf numFmtId="0" fontId="42" fillId="0" borderId="30" xfId="0" applyFont="1" applyBorder="1" applyAlignment="1">
      <alignment horizontal="center"/>
    </xf>
    <xf numFmtId="0" fontId="42" fillId="0" borderId="83" xfId="0" applyFont="1" applyBorder="1" applyAlignment="1">
      <alignment horizontal="center" vertical="center"/>
    </xf>
    <xf numFmtId="0" fontId="42" fillId="0" borderId="85" xfId="0" applyFont="1" applyBorder="1" applyAlignment="1">
      <alignment horizontal="center" vertical="center"/>
    </xf>
    <xf numFmtId="0" fontId="42" fillId="0" borderId="86" xfId="0" applyFont="1" applyBorder="1" applyAlignment="1">
      <alignment horizontal="center" vertical="center"/>
    </xf>
    <xf numFmtId="0" fontId="42" fillId="0" borderId="58" xfId="0" applyFont="1" applyBorder="1" applyAlignment="1">
      <alignment horizontal="center" vertical="center"/>
    </xf>
    <xf numFmtId="0" fontId="42" fillId="0" borderId="14" xfId="0" applyFont="1" applyBorder="1" applyAlignment="1">
      <alignment horizontal="center"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4">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39</xdr:col>
      <xdr:colOff>273844</xdr:colOff>
      <xdr:row>1</xdr:row>
      <xdr:rowOff>71437</xdr:rowOff>
    </xdr:from>
    <xdr:to>
      <xdr:col>40</xdr:col>
      <xdr:colOff>309562</xdr:colOff>
      <xdr:row>3</xdr:row>
      <xdr:rowOff>130968</xdr:rowOff>
    </xdr:to>
    <xdr:pic>
      <xdr:nvPicPr>
        <xdr:cNvPr id="3" name="Imagen 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238125"/>
          <a:ext cx="916781"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323850</xdr:colOff>
      <xdr:row>27</xdr:row>
      <xdr:rowOff>0</xdr:rowOff>
    </xdr:from>
    <xdr:to>
      <xdr:col>13</xdr:col>
      <xdr:colOff>732786</xdr:colOff>
      <xdr:row>35</xdr:row>
      <xdr:rowOff>37952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133975" y="4333875"/>
          <a:ext cx="5114286" cy="11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12</xdr:col>
      <xdr:colOff>638175</xdr:colOff>
      <xdr:row>7</xdr:row>
      <xdr:rowOff>161925</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724025"/>
          <a:ext cx="540067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ESOS%20DE%20APOYO/RIESGOS%20CORRUPCION%20ALMACEN%2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ESOS%20DE%20APOYO/RIESGOS%20CORRUPCION%20BIOMEDICA%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CESOS%20DE%20APOYO/RIESGOS%20CORRUPCION%20CONTRATACION%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CESOS%20DE%20APOYO/RIESGOS%20CORRUPCION%20FINANCIERA%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CESOS%20DE%20APOYO/RIESGOS%20CORRUPCION%20GESTION%20ADMINISTRATIVA%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CESOS%20DE%20APOYO/RIESGOS%20CORRUPCION%20GESTION%20DOCUMENTAL%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CESOS%20DE%20APOYO/RIESGOS%20CORRUPCION%20JURIDICA%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CESOS%20DE%20APOYO/RIESGOS%20CORRUPCION%20MANTENIMIENTO%2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CESOS%20DE%20APOYO/RIESGOS%20CORRUPCION%20SISTEMAS%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CESOS%20ESTRATEGICOS/RIESGOS%20CORRUPCION%20%20QHSE%20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CESOS%20ESTRATEGICOS/RIESGOS%20CORRUPCION%20TALENTO%20HUMANO%2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OCESOS%20MISIONALES/RIESGOS%20CORRUPCION%20APOYO%20SERVICIOS%20SALUD%20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OCESOS%20MISIONALES/RIESGOS%20CORRUPCION%20FARMACIA%20%202023.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F:\MAPAS%20DE%20RIESGOS%20GENERAL\MAPA%20DE%20RIESGOS%20CORRUPCI&#211;N%202023\CORRUPCION\PROCESOS%20MISIONALES\RIESGOS%20CORRUPCION%20GESTION%20QX%202023.xlsx" TargetMode="External"/><Relationship Id="rId1" Type="http://schemas.openxmlformats.org/officeDocument/2006/relationships/externalLinkPath" Target="PROCESOS%20MISIONALES/RIESGOS%20CORRUPCION%20GESTION%20QX%20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ALMACEN%20%20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BIOMEDICA%20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CONTRATACION%20202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FINANCIERA%2020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GESTION%20DOCUMENTAL%2020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JURIDICA%2020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MANTENIMIENTO%20202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SISTEMAS%20202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ESTRATEGICOS\RIESGOS%20CORRUPCION%20%20QHSE%20202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2022\RIESGOS\MAPAS%20DE%20RIESGO\CORRUPCION\RIESGOS%20CORRUPCION%20MANTENIMIENTO%20202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ESTRATEGICOS\RIESGOS%20CORRUPCION%20TALENTO%20HUMANO%20202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MISIONALES\RIESGOS%20CORRUPCION%20FARMACIA%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Mayor</v>
          </cell>
          <cell r="N10">
            <v>10</v>
          </cell>
          <cell r="O10">
            <v>0.8</v>
          </cell>
          <cell r="P10" t="str">
            <v>Alto</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0.2</v>
          </cell>
          <cell r="K10" t="str">
            <v>Mayor</v>
          </cell>
          <cell r="M10" t="str">
            <v>Mayor</v>
          </cell>
          <cell r="N10">
            <v>10</v>
          </cell>
          <cell r="O10">
            <v>0.8</v>
          </cell>
          <cell r="P10" t="str">
            <v>Alto</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Catastrófico</v>
          </cell>
        </row>
        <row r="13">
          <cell r="J13">
            <v>0.6</v>
          </cell>
          <cell r="K13" t="str">
            <v>Catastrófico</v>
          </cell>
          <cell r="M13" t="str">
            <v>Catastrófico</v>
          </cell>
          <cell r="N13">
            <v>20</v>
          </cell>
          <cell r="O13">
            <v>1</v>
          </cell>
          <cell r="P13" t="str">
            <v>Extremo</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 y Reputacional</v>
          </cell>
          <cell r="C10"/>
          <cell r="D10" t="str">
            <v>Interes en favorecer a algún proveedor con el fin de obtener beneficio a nombre propio.</v>
          </cell>
          <cell r="E10" t="str">
            <v>Posibilidad de Sanciones de los Entes de inspección vigilancia y control por la Exclusion del giro a proveedores y contratistas para presionar y obtener algun beneficio personal.</v>
          </cell>
          <cell r="F10" t="str">
            <v>Usuarios, productos y practicas , organizacionales</v>
          </cell>
          <cell r="G10" t="str">
            <v>Tesorería</v>
          </cell>
          <cell r="H10">
            <v>10950</v>
          </cell>
          <cell r="I10" t="str">
            <v>Muy Alta</v>
          </cell>
          <cell r="J10">
            <v>1</v>
          </cell>
          <cell r="K10" t="str">
            <v>Catastrófico</v>
          </cell>
          <cell r="L10">
            <v>20</v>
          </cell>
          <cell r="M10" t="str">
            <v>Catastrófico</v>
          </cell>
          <cell r="N10">
            <v>20</v>
          </cell>
          <cell r="O10">
            <v>1</v>
          </cell>
          <cell r="P10" t="str">
            <v>Extremo</v>
          </cell>
          <cell r="Q10">
            <v>1</v>
          </cell>
          <cell r="R10" t="str">
            <v xml:space="preserve">El tesorero mensualmente aplica lo establecido en el Procedimiento AF-PR-36 liquidación y Giro de Cuentas a fin de realizar la priorización de pagos, conforme a la llegada de las facturas y a los plazos de pago.
Resolución 048 de 2021 </v>
          </cell>
          <cell r="S10" t="str">
            <v>Probabilidad</v>
          </cell>
          <cell r="T10" t="str">
            <v>Preventivo</v>
          </cell>
          <cell r="U10" t="str">
            <v>Manual</v>
          </cell>
          <cell r="V10" t="str">
            <v>40%</v>
          </cell>
          <cell r="W10" t="str">
            <v>Documentado</v>
          </cell>
          <cell r="X10" t="str">
            <v>Continua</v>
          </cell>
          <cell r="Y10" t="str">
            <v>Con Registro</v>
          </cell>
          <cell r="Z10" t="str">
            <v>Informe segumiento plan financiero de cuentas por pagar.</v>
          </cell>
          <cell r="AA10">
            <v>0.6</v>
          </cell>
          <cell r="AB10" t="str">
            <v>Media</v>
          </cell>
          <cell r="AC10">
            <v>0.6</v>
          </cell>
          <cell r="AD10" t="str">
            <v>Catastrófico</v>
          </cell>
          <cell r="AE10">
            <v>1</v>
          </cell>
          <cell r="AF10" t="str">
            <v>Extremo</v>
          </cell>
          <cell r="AG10" t="str">
            <v>Reducir (mitigar)</v>
          </cell>
          <cell r="AH10" t="str">
            <v>Realizar seguimiento a la antigüedad de cuentas por pagar según lo definido en Procedimiento AF-PR-36 Liquidación y giro de cuentas</v>
          </cell>
          <cell r="AI10" t="str">
            <v>Tesoreria</v>
          </cell>
          <cell r="AJ10" t="str">
            <v>Enero a Diciembre de 2023</v>
          </cell>
          <cell r="AK10" t="str">
            <v>Cuatrimestral</v>
          </cell>
          <cell r="AL10" t="str">
            <v xml:space="preserve"> Informe segumiento de cuentas por pagar.</v>
          </cell>
          <cell r="AM10" t="str">
            <v>En curso</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0.8</v>
          </cell>
          <cell r="K10" t="str">
            <v>Catastrófico</v>
          </cell>
          <cell r="L10">
            <v>20</v>
          </cell>
          <cell r="M10" t="str">
            <v>Catastrófico</v>
          </cell>
          <cell r="N10">
            <v>20</v>
          </cell>
          <cell r="O10">
            <v>1</v>
          </cell>
          <cell r="P10" t="str">
            <v>Extremo</v>
          </cell>
        </row>
        <row r="13">
          <cell r="J13">
            <v>1</v>
          </cell>
          <cell r="K13" t="str">
            <v>Catastrófico</v>
          </cell>
          <cell r="M13" t="str">
            <v>Catastrófico</v>
          </cell>
          <cell r="O13">
            <v>1</v>
          </cell>
          <cell r="P13" t="str">
            <v>Extremo</v>
          </cell>
        </row>
        <row r="16">
          <cell r="J16">
            <v>0.6</v>
          </cell>
          <cell r="K16" t="str">
            <v>Mayor</v>
          </cell>
          <cell r="M16" t="str">
            <v>Mayor</v>
          </cell>
          <cell r="O16">
            <v>0.8</v>
          </cell>
          <cell r="P16" t="str">
            <v>Alto</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Reputacional</v>
          </cell>
          <cell r="C10"/>
          <cell r="D10" t="str">
            <v>* Falta de compromiso e identidad del personal que labora en archivo central y de gestión, frente  a  la responsabilidad del manejo de la información.</v>
          </cell>
          <cell r="E10" t="str">
            <v xml:space="preserve"> Posibilidad de  Investigaciones y sanciones disciplinarias y punitivas por Utilización indebida y sustracción de la información física  por parte del personal de la entidad.</v>
          </cell>
          <cell r="F10" t="str">
            <v>Usuarios, productos y practicas , organizacionales</v>
          </cell>
          <cell r="G10" t="str">
            <v>Gestión Documental</v>
          </cell>
          <cell r="H10">
            <v>365</v>
          </cell>
          <cell r="I10" t="str">
            <v>Media</v>
          </cell>
          <cell r="J10">
            <v>0.6</v>
          </cell>
          <cell r="K10" t="str">
            <v>Catastrófico</v>
          </cell>
          <cell r="L10">
            <v>20</v>
          </cell>
          <cell r="M10" t="str">
            <v>Catastrófico</v>
          </cell>
          <cell r="N10">
            <v>20</v>
          </cell>
          <cell r="O10">
            <v>1</v>
          </cell>
          <cell r="P10" t="str">
            <v>Extremo</v>
          </cell>
          <cell r="Q10">
            <v>1</v>
          </cell>
          <cell r="R10" t="str">
            <v>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Préstamo de Documentos en archivos de gestión</v>
          </cell>
          <cell r="S10" t="str">
            <v>Probabilidad</v>
          </cell>
          <cell r="T10" t="str">
            <v>Preventivo</v>
          </cell>
          <cell r="U10" t="str">
            <v>Manual</v>
          </cell>
          <cell r="V10" t="str">
            <v>40%</v>
          </cell>
          <cell r="W10" t="str">
            <v>Documentado</v>
          </cell>
          <cell r="X10" t="str">
            <v>Continua</v>
          </cell>
          <cell r="Y10" t="str">
            <v>Con Registro</v>
          </cell>
          <cell r="Z10" t="str">
            <v>Diligenciamiento del formato GD- F-01 de control consulta y préstamos de documentos de archivo
Informe mensual del lider del proceso de gestion documental.
Formato  Prestamo Documentos Archivo de Gestión GD-F-20</v>
          </cell>
          <cell r="AA10">
            <v>0.36</v>
          </cell>
          <cell r="AB10" t="str">
            <v>Baja</v>
          </cell>
          <cell r="AC10">
            <v>0.36</v>
          </cell>
          <cell r="AD10" t="str">
            <v>Catastrófico</v>
          </cell>
          <cell r="AE10">
            <v>1</v>
          </cell>
          <cell r="AF10" t="str">
            <v>Extremo</v>
          </cell>
          <cell r="AG10" t="str">
            <v>Extremo</v>
          </cell>
          <cell r="AH10" t="str">
            <v>Reducir (mitigar)</v>
          </cell>
          <cell r="AI10" t="str">
            <v>Verificar que se cumplan los tiempos estipulados para el prestamo de documentos</v>
          </cell>
          <cell r="AJ10" t="str">
            <v>Coordinador de Gestión Documental y Líder de Archivo de Historia Clínica</v>
          </cell>
          <cell r="AK10" t="str">
            <v>Enero a Diciembre de 2023</v>
          </cell>
          <cell r="AL10" t="str">
            <v>Cuatrimestral</v>
          </cell>
          <cell r="AM10" t="str">
            <v>Formato  Prestamo Documentos Archivo de Gestión GD-F-20
AHC-F-06 Registro Relación solicitud y entrega de copias de Historia Clínica</v>
          </cell>
          <cell r="AN10" t="str">
            <v>En curso</v>
          </cell>
        </row>
        <row r="11">
          <cell r="Q11">
            <v>2</v>
          </cell>
          <cell r="R11" t="str">
            <v>El personal de HC verifica la solicitud y ejecuta los pasos a seguir para el préstamo y consulta de historias clíncias mediante el procedimiento AHC-PR-04.</v>
          </cell>
          <cell r="S11" t="str">
            <v>Probabilidad</v>
          </cell>
          <cell r="T11" t="str">
            <v>Preventivo</v>
          </cell>
          <cell r="U11" t="str">
            <v>Manual</v>
          </cell>
          <cell r="V11" t="str">
            <v>40%</v>
          </cell>
          <cell r="W11" t="str">
            <v>Documentado</v>
          </cell>
          <cell r="X11" t="str">
            <v>continua</v>
          </cell>
          <cell r="Y11" t="str">
            <v>Con Registro</v>
          </cell>
          <cell r="Z11" t="str">
            <v xml:space="preserve">Diligenciamiento de formato AHC-F-06 Registro Relación solicitud y entrega de copias de Historia Clínica
</v>
          </cell>
          <cell r="AA11">
            <v>0.216</v>
          </cell>
          <cell r="AB11" t="str">
            <v>Baja</v>
          </cell>
          <cell r="AC11">
            <v>0.216</v>
          </cell>
          <cell r="AD11" t="str">
            <v>Catastrófico</v>
          </cell>
          <cell r="AE11">
            <v>1</v>
          </cell>
          <cell r="AF11" t="str">
            <v>Extremo</v>
          </cell>
        </row>
      </sheetData>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v>
          </cell>
          <cell r="C10" t="str">
            <v xml:space="preserve">Vencimiento de terminos 
Dificultad en el control y seguimiento de todos los procesos judiciales.
</v>
          </cell>
          <cell r="D10" t="str">
            <v>No seguimiento  efectivo de los procesos  judiciales</v>
          </cell>
          <cell r="E10" t="str">
            <v xml:space="preserve">Posibilidad de providencias en contra de la institución, por inefectivo seguimiento a procesos judiciales o favorecimiento a la parte demandante al ejercer una defensa judicial  </v>
          </cell>
          <cell r="F10" t="str">
            <v>Ejecucion y Administracion de procesos</v>
          </cell>
          <cell r="G10" t="str">
            <v xml:space="preserve">Gestión Jurídica </v>
          </cell>
          <cell r="H10">
            <v>24</v>
          </cell>
          <cell r="I10" t="str">
            <v>Baja</v>
          </cell>
          <cell r="J10">
            <v>0.4</v>
          </cell>
          <cell r="K10" t="str">
            <v>Mayor</v>
          </cell>
          <cell r="L10">
            <v>10</v>
          </cell>
          <cell r="M10" t="str">
            <v>Mayor</v>
          </cell>
          <cell r="N10">
            <v>10</v>
          </cell>
          <cell r="O10">
            <v>0.8</v>
          </cell>
          <cell r="P10" t="str">
            <v>Alto</v>
          </cell>
          <cell r="Q10">
            <v>1</v>
          </cell>
          <cell r="R10" t="str">
            <v>Los abogados de la oficina jurídica realizan seguimiento diario a los procesos judiciales frente a términos para defensa técnica y a la trazabilidad de los mismos conforme a lo establecido en el procedimiento OAJ-PR-05 Mediante matriz general de proceso OAJ-F-18</v>
          </cell>
          <cell r="S10" t="str">
            <v>Probabilidad</v>
          </cell>
          <cell r="T10" t="str">
            <v>Preventivo</v>
          </cell>
          <cell r="U10" t="str">
            <v>Manual</v>
          </cell>
          <cell r="V10" t="str">
            <v>40%</v>
          </cell>
          <cell r="W10" t="str">
            <v>Documentado</v>
          </cell>
          <cell r="X10" t="str">
            <v>Continua</v>
          </cell>
          <cell r="Y10" t="str">
            <v>Con Registro</v>
          </cell>
          <cell r="Z10" t="str">
            <v xml:space="preserve">OAJ-F-18 Matriz General de procesos, Informe trimestral al Comité de Conciliación por parte de la secretario técnica
 </v>
          </cell>
          <cell r="AA10">
            <v>0.24</v>
          </cell>
          <cell r="AB10" t="str">
            <v>Baja</v>
          </cell>
          <cell r="AC10">
            <v>0.24</v>
          </cell>
          <cell r="AD10" t="str">
            <v>Mayor</v>
          </cell>
          <cell r="AE10">
            <v>0.8</v>
          </cell>
          <cell r="AF10" t="str">
            <v>Alto</v>
          </cell>
          <cell r="AG10" t="str">
            <v>Reducir (mitigar)</v>
          </cell>
          <cell r="AH10" t="str">
            <v xml:space="preserve"> Realizar seguimiento al cumplimiento de los términos judiciales de acuerdo a la defensa técnica de la institución teniendo en cuenta la trazabilidad de procesos y las actividades programadas dentro de los mismos.</v>
          </cell>
          <cell r="AI10" t="str">
            <v>Asesor Jurídico</v>
          </cell>
          <cell r="AJ10" t="str">
            <v>Enero a diciembre 2023</v>
          </cell>
          <cell r="AK10" t="str">
            <v>Cuatrimestral</v>
          </cell>
          <cell r="AL10" t="str">
            <v>OAJ-F-18 Matriz general de procesos</v>
          </cell>
          <cell r="AM10" t="str">
            <v>En curso</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0.4</v>
          </cell>
          <cell r="K10" t="str">
            <v>Mayor</v>
          </cell>
          <cell r="L10">
            <v>10</v>
          </cell>
          <cell r="M10" t="str">
            <v>Mayor</v>
          </cell>
          <cell r="N10">
            <v>10</v>
          </cell>
          <cell r="O10">
            <v>0.8</v>
          </cell>
          <cell r="P10" t="str">
            <v>Alto</v>
          </cell>
        </row>
      </sheetData>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Mayor</v>
          </cell>
          <cell r="L10">
            <v>10</v>
          </cell>
          <cell r="M10" t="str">
            <v>Mayor</v>
          </cell>
          <cell r="N10">
            <v>10</v>
          </cell>
          <cell r="O10">
            <v>0.8</v>
          </cell>
          <cell r="P10" t="str">
            <v>Alto</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cell r="L10">
            <v>20</v>
          </cell>
          <cell r="M10" t="str">
            <v>Catastrófico</v>
          </cell>
          <cell r="N10">
            <v>20</v>
          </cell>
          <cell r="O10">
            <v>1</v>
          </cell>
          <cell r="P10" t="str">
            <v>Extremo</v>
          </cell>
        </row>
        <row r="13">
          <cell r="K13" t="str">
            <v>Mayor</v>
          </cell>
          <cell r="L13">
            <v>10</v>
          </cell>
          <cell r="M13" t="str">
            <v>Mayor</v>
          </cell>
          <cell r="N13">
            <v>10</v>
          </cell>
          <cell r="O13">
            <v>0.8</v>
          </cell>
          <cell r="P13" t="str">
            <v>Alto</v>
          </cell>
        </row>
      </sheetData>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K10" t="str">
            <v>Catastrófico</v>
          </cell>
          <cell r="L10">
            <v>20</v>
          </cell>
          <cell r="M10" t="str">
            <v>Catastrófico</v>
          </cell>
          <cell r="N10">
            <v>20</v>
          </cell>
          <cell r="O10">
            <v>1</v>
          </cell>
          <cell r="P10" t="str">
            <v>Extremo</v>
          </cell>
        </row>
      </sheetData>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cell r="L10">
            <v>20</v>
          </cell>
          <cell r="M10" t="str">
            <v>Catastrófico</v>
          </cell>
          <cell r="N10">
            <v>20</v>
          </cell>
          <cell r="O10">
            <v>1</v>
          </cell>
          <cell r="P10" t="str">
            <v>Extremo</v>
          </cell>
        </row>
      </sheetData>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Mayor</v>
          </cell>
        </row>
      </sheetData>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0.2</v>
          </cell>
        </row>
      </sheetData>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Catastrófico</v>
          </cell>
        </row>
      </sheetData>
      <sheetData sheetId="2"/>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 y Reputacional</v>
          </cell>
        </row>
      </sheetData>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Reputacional</v>
          </cell>
        </row>
      </sheetData>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v>
          </cell>
        </row>
      </sheetData>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0.4</v>
          </cell>
        </row>
      </sheetData>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5"/>
  <sheetViews>
    <sheetView topLeftCell="B1" workbookViewId="0">
      <selection activeCell="B1" sqref="B1"/>
    </sheetView>
  </sheetViews>
  <sheetFormatPr baseColWidth="10" defaultRowHeight="15" x14ac:dyDescent="0.25"/>
  <cols>
    <col min="2" max="2" width="32.140625" customWidth="1"/>
    <col min="3" max="3" width="82" customWidth="1"/>
    <col min="5" max="5" width="62.7109375" customWidth="1"/>
  </cols>
  <sheetData>
    <row r="2" spans="2:6" x14ac:dyDescent="0.25">
      <c r="B2" s="154" t="s">
        <v>225</v>
      </c>
      <c r="C2" s="154"/>
      <c r="E2" t="s">
        <v>231</v>
      </c>
    </row>
    <row r="3" spans="2:6" ht="240" x14ac:dyDescent="0.25">
      <c r="B3" s="123" t="s">
        <v>223</v>
      </c>
      <c r="C3" s="123" t="s">
        <v>222</v>
      </c>
      <c r="D3" s="122"/>
      <c r="E3" s="120"/>
      <c r="F3" s="120"/>
    </row>
    <row r="4" spans="2:6" x14ac:dyDescent="0.25">
      <c r="B4" s="155" t="s">
        <v>224</v>
      </c>
      <c r="C4" s="155"/>
      <c r="D4" s="120"/>
      <c r="E4" s="120" t="s">
        <v>232</v>
      </c>
      <c r="F4" s="120"/>
    </row>
    <row r="5" spans="2:6" ht="320.25" customHeight="1" x14ac:dyDescent="0.25">
      <c r="B5" s="121" t="s">
        <v>226</v>
      </c>
      <c r="C5" s="121" t="s">
        <v>227</v>
      </c>
      <c r="D5" s="120"/>
      <c r="E5" s="121" t="s">
        <v>233</v>
      </c>
      <c r="F5" s="120"/>
    </row>
    <row r="6" spans="2:6" ht="21.75" customHeight="1" x14ac:dyDescent="0.25">
      <c r="B6" s="156" t="s">
        <v>228</v>
      </c>
      <c r="C6" s="157"/>
      <c r="D6" s="120"/>
      <c r="E6" s="120"/>
      <c r="F6" s="120"/>
    </row>
    <row r="7" spans="2:6" ht="338.25" customHeight="1" x14ac:dyDescent="0.25">
      <c r="B7" s="121" t="s">
        <v>229</v>
      </c>
      <c r="C7" s="121" t="s">
        <v>230</v>
      </c>
      <c r="D7" s="120"/>
      <c r="E7" s="120"/>
      <c r="F7" s="120"/>
    </row>
    <row r="8" spans="2:6" x14ac:dyDescent="0.25">
      <c r="B8" s="120"/>
      <c r="C8" s="120"/>
      <c r="D8" s="120"/>
      <c r="E8" s="120"/>
      <c r="F8" s="120"/>
    </row>
    <row r="9" spans="2:6" x14ac:dyDescent="0.25">
      <c r="B9" s="120"/>
      <c r="C9" s="120"/>
      <c r="D9" s="120"/>
      <c r="E9" s="120"/>
      <c r="F9" s="120"/>
    </row>
    <row r="10" spans="2:6" x14ac:dyDescent="0.25">
      <c r="B10" s="120"/>
      <c r="C10" s="120"/>
      <c r="D10" s="120"/>
      <c r="E10" s="120"/>
      <c r="F10" s="120"/>
    </row>
    <row r="11" spans="2:6" x14ac:dyDescent="0.25">
      <c r="B11" s="120"/>
      <c r="C11" s="120"/>
      <c r="D11" s="120"/>
      <c r="E11" s="120"/>
      <c r="F11" s="120"/>
    </row>
    <row r="12" spans="2:6" x14ac:dyDescent="0.25">
      <c r="B12" s="120"/>
      <c r="C12" s="120"/>
      <c r="D12" s="120"/>
      <c r="E12" s="120"/>
      <c r="F12" s="120"/>
    </row>
    <row r="13" spans="2:6" x14ac:dyDescent="0.25">
      <c r="B13" s="120"/>
      <c r="C13" s="120"/>
      <c r="D13" s="120"/>
      <c r="E13" s="120"/>
      <c r="F13" s="120"/>
    </row>
    <row r="14" spans="2:6" x14ac:dyDescent="0.25">
      <c r="B14" s="120"/>
      <c r="C14" s="120"/>
      <c r="D14" s="120"/>
      <c r="E14" s="120"/>
      <c r="F14" s="120"/>
    </row>
    <row r="15" spans="2:6" x14ac:dyDescent="0.25">
      <c r="B15" s="120"/>
      <c r="C15" s="120"/>
      <c r="D15" s="120"/>
      <c r="E15" s="120"/>
      <c r="F15" s="120"/>
    </row>
  </sheetData>
  <mergeCells count="3">
    <mergeCell ref="B2:C2"/>
    <mergeCell ref="B4:C4"/>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H45"/>
  <sheetViews>
    <sheetView topLeftCell="A19" zoomScale="110" zoomScaleNormal="110" workbookViewId="0">
      <selection activeCell="E22" sqref="E22:F22"/>
    </sheetView>
  </sheetViews>
  <sheetFormatPr baseColWidth="10" defaultColWidth="11.42578125" defaultRowHeight="15" x14ac:dyDescent="0.25"/>
  <cols>
    <col min="1" max="1" width="2.85546875" style="18" customWidth="1"/>
    <col min="2" max="3" width="24.7109375" style="18" customWidth="1"/>
    <col min="4" max="4" width="16" style="18" customWidth="1"/>
    <col min="5" max="5" width="24.7109375" style="18" customWidth="1"/>
    <col min="6" max="6" width="27.7109375" style="18" customWidth="1"/>
    <col min="7" max="8" width="24.7109375" style="18" customWidth="1"/>
    <col min="9" max="16384" width="11.42578125" style="18"/>
  </cols>
  <sheetData>
    <row r="1" spans="2:8" ht="15.75" thickBot="1" x14ac:dyDescent="0.3"/>
    <row r="2" spans="2:8" ht="18" x14ac:dyDescent="0.25">
      <c r="B2" s="175" t="s">
        <v>116</v>
      </c>
      <c r="C2" s="176"/>
      <c r="D2" s="176"/>
      <c r="E2" s="176"/>
      <c r="F2" s="176"/>
      <c r="G2" s="176"/>
      <c r="H2" s="177"/>
    </row>
    <row r="3" spans="2:8" x14ac:dyDescent="0.25">
      <c r="B3" s="19"/>
      <c r="C3" s="20"/>
      <c r="D3" s="20"/>
      <c r="E3" s="20"/>
      <c r="F3" s="20"/>
      <c r="G3" s="20"/>
      <c r="H3" s="21"/>
    </row>
    <row r="4" spans="2:8" ht="63" customHeight="1" x14ac:dyDescent="0.25">
      <c r="B4" s="178" t="s">
        <v>159</v>
      </c>
      <c r="C4" s="179"/>
      <c r="D4" s="179"/>
      <c r="E4" s="179"/>
      <c r="F4" s="179"/>
      <c r="G4" s="179"/>
      <c r="H4" s="180"/>
    </row>
    <row r="5" spans="2:8" ht="63" customHeight="1" x14ac:dyDescent="0.25">
      <c r="B5" s="181"/>
      <c r="C5" s="182"/>
      <c r="D5" s="182"/>
      <c r="E5" s="182"/>
      <c r="F5" s="182"/>
      <c r="G5" s="182"/>
      <c r="H5" s="183"/>
    </row>
    <row r="6" spans="2:8" ht="16.5" x14ac:dyDescent="0.25">
      <c r="B6" s="184" t="s">
        <v>114</v>
      </c>
      <c r="C6" s="185"/>
      <c r="D6" s="185"/>
      <c r="E6" s="185"/>
      <c r="F6" s="185"/>
      <c r="G6" s="185"/>
      <c r="H6" s="186"/>
    </row>
    <row r="7" spans="2:8" ht="95.25" customHeight="1" x14ac:dyDescent="0.25">
      <c r="B7" s="194" t="s">
        <v>119</v>
      </c>
      <c r="C7" s="195"/>
      <c r="D7" s="195"/>
      <c r="E7" s="195"/>
      <c r="F7" s="195"/>
      <c r="G7" s="195"/>
      <c r="H7" s="196"/>
    </row>
    <row r="8" spans="2:8" ht="16.5" x14ac:dyDescent="0.25">
      <c r="B8" s="51"/>
      <c r="C8" s="52"/>
      <c r="D8" s="52"/>
      <c r="E8" s="52"/>
      <c r="F8" s="52"/>
      <c r="G8" s="52"/>
      <c r="H8" s="53"/>
    </row>
    <row r="9" spans="2:8" ht="16.5" customHeight="1" x14ac:dyDescent="0.25">
      <c r="B9" s="187" t="s">
        <v>152</v>
      </c>
      <c r="C9" s="188"/>
      <c r="D9" s="188"/>
      <c r="E9" s="188"/>
      <c r="F9" s="188"/>
      <c r="G9" s="188"/>
      <c r="H9" s="189"/>
    </row>
    <row r="10" spans="2:8" ht="44.25" customHeight="1" x14ac:dyDescent="0.25">
      <c r="B10" s="187"/>
      <c r="C10" s="188"/>
      <c r="D10" s="188"/>
      <c r="E10" s="188"/>
      <c r="F10" s="188"/>
      <c r="G10" s="188"/>
      <c r="H10" s="189"/>
    </row>
    <row r="11" spans="2:8" ht="15.75" thickBot="1" x14ac:dyDescent="0.3">
      <c r="B11" s="40"/>
      <c r="C11" s="43"/>
      <c r="D11" s="48"/>
      <c r="E11" s="49"/>
      <c r="F11" s="49"/>
      <c r="G11" s="50"/>
      <c r="H11" s="44"/>
    </row>
    <row r="12" spans="2:8" ht="15.75" thickTop="1" x14ac:dyDescent="0.25">
      <c r="B12" s="40"/>
      <c r="C12" s="190" t="s">
        <v>115</v>
      </c>
      <c r="D12" s="191"/>
      <c r="E12" s="192" t="s">
        <v>153</v>
      </c>
      <c r="F12" s="193"/>
      <c r="G12" s="43"/>
      <c r="H12" s="44"/>
    </row>
    <row r="13" spans="2:8" ht="35.25" customHeight="1" x14ac:dyDescent="0.25">
      <c r="B13" s="40"/>
      <c r="C13" s="162" t="s">
        <v>146</v>
      </c>
      <c r="D13" s="163"/>
      <c r="E13" s="164" t="s">
        <v>151</v>
      </c>
      <c r="F13" s="165"/>
      <c r="G13" s="43"/>
      <c r="H13" s="44"/>
    </row>
    <row r="14" spans="2:8" ht="17.25" customHeight="1" x14ac:dyDescent="0.25">
      <c r="B14" s="40"/>
      <c r="C14" s="162" t="s">
        <v>147</v>
      </c>
      <c r="D14" s="163"/>
      <c r="E14" s="164" t="s">
        <v>149</v>
      </c>
      <c r="F14" s="165"/>
      <c r="G14" s="43"/>
      <c r="H14" s="44"/>
    </row>
    <row r="15" spans="2:8" ht="19.5" customHeight="1" x14ac:dyDescent="0.25">
      <c r="B15" s="40"/>
      <c r="C15" s="162" t="s">
        <v>148</v>
      </c>
      <c r="D15" s="163"/>
      <c r="E15" s="164" t="s">
        <v>150</v>
      </c>
      <c r="F15" s="165"/>
      <c r="G15" s="43"/>
      <c r="H15" s="44"/>
    </row>
    <row r="16" spans="2:8" ht="69.75" customHeight="1" x14ac:dyDescent="0.25">
      <c r="B16" s="40"/>
      <c r="C16" s="162" t="s">
        <v>117</v>
      </c>
      <c r="D16" s="163"/>
      <c r="E16" s="164" t="s">
        <v>118</v>
      </c>
      <c r="F16" s="165"/>
      <c r="G16" s="43"/>
      <c r="H16" s="44"/>
    </row>
    <row r="17" spans="2:8" ht="34.5" customHeight="1" x14ac:dyDescent="0.25">
      <c r="B17" s="40"/>
      <c r="C17" s="166" t="s">
        <v>1</v>
      </c>
      <c r="D17" s="167"/>
      <c r="E17" s="158" t="s">
        <v>160</v>
      </c>
      <c r="F17" s="159"/>
      <c r="G17" s="43"/>
      <c r="H17" s="44"/>
    </row>
    <row r="18" spans="2:8" ht="27.75" customHeight="1" x14ac:dyDescent="0.25">
      <c r="B18" s="40"/>
      <c r="C18" s="166" t="s">
        <v>2</v>
      </c>
      <c r="D18" s="167"/>
      <c r="E18" s="158" t="s">
        <v>161</v>
      </c>
      <c r="F18" s="159"/>
      <c r="G18" s="43"/>
      <c r="H18" s="44"/>
    </row>
    <row r="19" spans="2:8" ht="28.5" customHeight="1" x14ac:dyDescent="0.25">
      <c r="B19" s="40"/>
      <c r="C19" s="166" t="s">
        <v>40</v>
      </c>
      <c r="D19" s="167"/>
      <c r="E19" s="158" t="s">
        <v>162</v>
      </c>
      <c r="F19" s="159"/>
      <c r="G19" s="43"/>
      <c r="H19" s="44"/>
    </row>
    <row r="20" spans="2:8" ht="72.75" customHeight="1" x14ac:dyDescent="0.25">
      <c r="B20" s="40"/>
      <c r="C20" s="166" t="s">
        <v>0</v>
      </c>
      <c r="D20" s="167"/>
      <c r="E20" s="158" t="s">
        <v>163</v>
      </c>
      <c r="F20" s="159"/>
      <c r="G20" s="43"/>
      <c r="H20" s="44"/>
    </row>
    <row r="21" spans="2:8" ht="64.5" customHeight="1" x14ac:dyDescent="0.25">
      <c r="B21" s="40"/>
      <c r="C21" s="166" t="s">
        <v>45</v>
      </c>
      <c r="D21" s="167"/>
      <c r="E21" s="158" t="s">
        <v>121</v>
      </c>
      <c r="F21" s="159"/>
      <c r="G21" s="43"/>
      <c r="H21" s="44"/>
    </row>
    <row r="22" spans="2:8" ht="71.25" customHeight="1" x14ac:dyDescent="0.25">
      <c r="B22" s="40"/>
      <c r="C22" s="166" t="s">
        <v>120</v>
      </c>
      <c r="D22" s="167"/>
      <c r="E22" s="158" t="s">
        <v>122</v>
      </c>
      <c r="F22" s="159"/>
      <c r="G22" s="43"/>
      <c r="H22" s="44"/>
    </row>
    <row r="23" spans="2:8" ht="55.5" customHeight="1" x14ac:dyDescent="0.25">
      <c r="B23" s="40"/>
      <c r="C23" s="160" t="s">
        <v>123</v>
      </c>
      <c r="D23" s="161"/>
      <c r="E23" s="158" t="s">
        <v>124</v>
      </c>
      <c r="F23" s="159"/>
      <c r="G23" s="43"/>
      <c r="H23" s="44"/>
    </row>
    <row r="24" spans="2:8" ht="42" customHeight="1" x14ac:dyDescent="0.25">
      <c r="B24" s="40"/>
      <c r="C24" s="160" t="s">
        <v>44</v>
      </c>
      <c r="D24" s="161"/>
      <c r="E24" s="158" t="s">
        <v>125</v>
      </c>
      <c r="F24" s="159"/>
      <c r="G24" s="43"/>
      <c r="H24" s="44"/>
    </row>
    <row r="25" spans="2:8" ht="59.25" customHeight="1" x14ac:dyDescent="0.25">
      <c r="B25" s="40"/>
      <c r="C25" s="160" t="s">
        <v>113</v>
      </c>
      <c r="D25" s="161"/>
      <c r="E25" s="158" t="s">
        <v>126</v>
      </c>
      <c r="F25" s="159"/>
      <c r="G25" s="43"/>
      <c r="H25" s="44"/>
    </row>
    <row r="26" spans="2:8" ht="23.25" customHeight="1" x14ac:dyDescent="0.25">
      <c r="B26" s="40"/>
      <c r="C26" s="160" t="s">
        <v>11</v>
      </c>
      <c r="D26" s="161"/>
      <c r="E26" s="158" t="s">
        <v>127</v>
      </c>
      <c r="F26" s="159"/>
      <c r="G26" s="43"/>
      <c r="H26" s="44"/>
    </row>
    <row r="27" spans="2:8" ht="30.75" customHeight="1" x14ac:dyDescent="0.25">
      <c r="B27" s="40"/>
      <c r="C27" s="160" t="s">
        <v>131</v>
      </c>
      <c r="D27" s="161"/>
      <c r="E27" s="158" t="s">
        <v>128</v>
      </c>
      <c r="F27" s="159"/>
      <c r="G27" s="43"/>
      <c r="H27" s="44"/>
    </row>
    <row r="28" spans="2:8" ht="35.25" customHeight="1" x14ac:dyDescent="0.25">
      <c r="B28" s="40"/>
      <c r="C28" s="160" t="s">
        <v>132</v>
      </c>
      <c r="D28" s="161"/>
      <c r="E28" s="158" t="s">
        <v>129</v>
      </c>
      <c r="F28" s="159"/>
      <c r="G28" s="43"/>
      <c r="H28" s="44"/>
    </row>
    <row r="29" spans="2:8" ht="33" customHeight="1" x14ac:dyDescent="0.25">
      <c r="B29" s="40"/>
      <c r="C29" s="160" t="s">
        <v>132</v>
      </c>
      <c r="D29" s="161"/>
      <c r="E29" s="158" t="s">
        <v>129</v>
      </c>
      <c r="F29" s="159"/>
      <c r="G29" s="43"/>
      <c r="H29" s="44"/>
    </row>
    <row r="30" spans="2:8" ht="30" customHeight="1" x14ac:dyDescent="0.25">
      <c r="B30" s="40"/>
      <c r="C30" s="160" t="s">
        <v>133</v>
      </c>
      <c r="D30" s="161"/>
      <c r="E30" s="158" t="s">
        <v>130</v>
      </c>
      <c r="F30" s="159"/>
      <c r="G30" s="43"/>
      <c r="H30" s="44"/>
    </row>
    <row r="31" spans="2:8" ht="35.25" customHeight="1" x14ac:dyDescent="0.25">
      <c r="B31" s="40"/>
      <c r="C31" s="160" t="s">
        <v>134</v>
      </c>
      <c r="D31" s="161"/>
      <c r="E31" s="158" t="s">
        <v>135</v>
      </c>
      <c r="F31" s="159"/>
      <c r="G31" s="43"/>
      <c r="H31" s="44"/>
    </row>
    <row r="32" spans="2:8" ht="31.5" customHeight="1" x14ac:dyDescent="0.25">
      <c r="B32" s="40"/>
      <c r="C32" s="160" t="s">
        <v>136</v>
      </c>
      <c r="D32" s="161"/>
      <c r="E32" s="158" t="s">
        <v>137</v>
      </c>
      <c r="F32" s="159"/>
      <c r="G32" s="43"/>
      <c r="H32" s="44"/>
    </row>
    <row r="33" spans="2:8" ht="35.25" customHeight="1" x14ac:dyDescent="0.25">
      <c r="B33" s="40"/>
      <c r="C33" s="160" t="s">
        <v>138</v>
      </c>
      <c r="D33" s="161"/>
      <c r="E33" s="158" t="s">
        <v>139</v>
      </c>
      <c r="F33" s="159"/>
      <c r="G33" s="43"/>
      <c r="H33" s="44"/>
    </row>
    <row r="34" spans="2:8" ht="59.25" customHeight="1" x14ac:dyDescent="0.25">
      <c r="B34" s="40"/>
      <c r="C34" s="160" t="s">
        <v>140</v>
      </c>
      <c r="D34" s="161"/>
      <c r="E34" s="158" t="s">
        <v>141</v>
      </c>
      <c r="F34" s="159"/>
      <c r="G34" s="43"/>
      <c r="H34" s="44"/>
    </row>
    <row r="35" spans="2:8" ht="29.25" customHeight="1" x14ac:dyDescent="0.25">
      <c r="B35" s="40"/>
      <c r="C35" s="160" t="s">
        <v>28</v>
      </c>
      <c r="D35" s="161"/>
      <c r="E35" s="158" t="s">
        <v>142</v>
      </c>
      <c r="F35" s="159"/>
      <c r="G35" s="43"/>
      <c r="H35" s="44"/>
    </row>
    <row r="36" spans="2:8" ht="82.5" customHeight="1" x14ac:dyDescent="0.25">
      <c r="B36" s="40"/>
      <c r="C36" s="160" t="s">
        <v>144</v>
      </c>
      <c r="D36" s="161"/>
      <c r="E36" s="158" t="s">
        <v>143</v>
      </c>
      <c r="F36" s="159"/>
      <c r="G36" s="43"/>
      <c r="H36" s="44"/>
    </row>
    <row r="37" spans="2:8" ht="46.5" customHeight="1" x14ac:dyDescent="0.25">
      <c r="B37" s="40"/>
      <c r="C37" s="160" t="s">
        <v>37</v>
      </c>
      <c r="D37" s="161"/>
      <c r="E37" s="158" t="s">
        <v>145</v>
      </c>
      <c r="F37" s="159"/>
      <c r="G37" s="43"/>
      <c r="H37" s="44"/>
    </row>
    <row r="38" spans="2:8" ht="6.75" customHeight="1" thickBot="1" x14ac:dyDescent="0.3">
      <c r="B38" s="40"/>
      <c r="C38" s="171"/>
      <c r="D38" s="172"/>
      <c r="E38" s="173"/>
      <c r="F38" s="174"/>
      <c r="G38" s="43"/>
      <c r="H38" s="44"/>
    </row>
    <row r="39" spans="2:8" ht="15.75" thickTop="1" x14ac:dyDescent="0.25">
      <c r="B39" s="40"/>
      <c r="C39" s="41"/>
      <c r="D39" s="41"/>
      <c r="E39" s="42"/>
      <c r="F39" s="42"/>
      <c r="G39" s="43"/>
      <c r="H39" s="44"/>
    </row>
    <row r="40" spans="2:8" ht="21" customHeight="1" x14ac:dyDescent="0.25">
      <c r="B40" s="168" t="s">
        <v>154</v>
      </c>
      <c r="C40" s="169"/>
      <c r="D40" s="169"/>
      <c r="E40" s="169"/>
      <c r="F40" s="169"/>
      <c r="G40" s="169"/>
      <c r="H40" s="170"/>
    </row>
    <row r="41" spans="2:8" ht="20.25" customHeight="1" x14ac:dyDescent="0.25">
      <c r="B41" s="168" t="s">
        <v>155</v>
      </c>
      <c r="C41" s="169"/>
      <c r="D41" s="169"/>
      <c r="E41" s="169"/>
      <c r="F41" s="169"/>
      <c r="G41" s="169"/>
      <c r="H41" s="170"/>
    </row>
    <row r="42" spans="2:8" ht="20.25" customHeight="1" x14ac:dyDescent="0.25">
      <c r="B42" s="168" t="s">
        <v>156</v>
      </c>
      <c r="C42" s="169"/>
      <c r="D42" s="169"/>
      <c r="E42" s="169"/>
      <c r="F42" s="169"/>
      <c r="G42" s="169"/>
      <c r="H42" s="170"/>
    </row>
    <row r="43" spans="2:8" ht="20.25" customHeight="1" x14ac:dyDescent="0.25">
      <c r="B43" s="168" t="s">
        <v>157</v>
      </c>
      <c r="C43" s="169"/>
      <c r="D43" s="169"/>
      <c r="E43" s="169"/>
      <c r="F43" s="169"/>
      <c r="G43" s="169"/>
      <c r="H43" s="170"/>
    </row>
    <row r="44" spans="2:8" x14ac:dyDescent="0.25">
      <c r="B44" s="168" t="s">
        <v>158</v>
      </c>
      <c r="C44" s="169"/>
      <c r="D44" s="169"/>
      <c r="E44" s="169"/>
      <c r="F44" s="169"/>
      <c r="G44" s="169"/>
      <c r="H44" s="170"/>
    </row>
    <row r="45" spans="2:8" ht="15.75" thickBot="1" x14ac:dyDescent="0.3">
      <c r="B45" s="45"/>
      <c r="C45" s="46"/>
      <c r="D45" s="46"/>
      <c r="E45" s="46"/>
      <c r="F45" s="46"/>
      <c r="G45" s="46"/>
      <c r="H45" s="4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2060"/>
  </sheetPr>
  <dimension ref="A2:BV39"/>
  <sheetViews>
    <sheetView tabSelected="1" topLeftCell="A30" zoomScale="70" zoomScaleNormal="70" workbookViewId="0">
      <selection activeCell="H38" sqref="H38:H39"/>
    </sheetView>
  </sheetViews>
  <sheetFormatPr baseColWidth="10" defaultColWidth="11.42578125" defaultRowHeight="12.75" x14ac:dyDescent="0.2"/>
  <cols>
    <col min="1" max="1" width="19.28515625" style="65" customWidth="1"/>
    <col min="2" max="2" width="10" style="65" customWidth="1"/>
    <col min="3" max="3" width="14.140625" style="65" customWidth="1"/>
    <col min="4" max="4" width="13.140625" style="65" hidden="1" customWidth="1"/>
    <col min="5" max="5" width="26.42578125" style="65" customWidth="1"/>
    <col min="6" max="6" width="29.28515625" style="56" customWidth="1"/>
    <col min="7" max="9" width="16.42578125" style="66" customWidth="1"/>
    <col min="10" max="10" width="12.140625" style="56" hidden="1" customWidth="1"/>
    <col min="11" max="11" width="13.85546875" style="56" customWidth="1"/>
    <col min="12" max="12" width="6.7109375" style="56" hidden="1" customWidth="1"/>
    <col min="13" max="13" width="20.7109375" style="56" hidden="1" customWidth="1"/>
    <col min="14" max="14" width="12.85546875" style="56" hidden="1" customWidth="1"/>
    <col min="15" max="15" width="16.5703125" style="56" customWidth="1"/>
    <col min="16" max="16" width="12.85546875" style="56" hidden="1" customWidth="1"/>
    <col min="17" max="17" width="6.42578125" style="56" hidden="1" customWidth="1"/>
    <col min="18" max="18" width="12.85546875" style="56" customWidth="1"/>
    <col min="19" max="19" width="5.85546875" style="56" customWidth="1"/>
    <col min="20" max="20" width="39.140625" style="56" customWidth="1"/>
    <col min="21" max="21" width="13.28515625" style="56" customWidth="1"/>
    <col min="22" max="22" width="6.85546875" style="56" customWidth="1"/>
    <col min="23" max="23" width="5" style="56" hidden="1" customWidth="1"/>
    <col min="24" max="24" width="5.5703125" style="56" hidden="1" customWidth="1"/>
    <col min="25" max="25" width="7.140625" style="56" hidden="1" customWidth="1"/>
    <col min="26" max="26" width="6.7109375" style="56" hidden="1" customWidth="1"/>
    <col min="27" max="27" width="7.5703125" style="56" hidden="1" customWidth="1"/>
    <col min="28" max="28" width="26.140625" style="56" customWidth="1"/>
    <col min="29" max="29" width="9.28515625" style="56" hidden="1" customWidth="1"/>
    <col min="30" max="30" width="5.5703125" style="56" customWidth="1"/>
    <col min="31" max="31" width="10.42578125" style="56" hidden="1" customWidth="1"/>
    <col min="32" max="32" width="6.5703125" style="56" customWidth="1"/>
    <col min="33" max="33" width="9.140625" style="56" hidden="1" customWidth="1"/>
    <col min="34" max="34" width="8.42578125" style="56" hidden="1" customWidth="1"/>
    <col min="35" max="35" width="8.42578125" style="56" customWidth="1"/>
    <col min="36" max="36" width="7.28515625" style="56" customWidth="1"/>
    <col min="37" max="37" width="23" style="56" customWidth="1"/>
    <col min="38" max="38" width="16" style="56" customWidth="1"/>
    <col min="39" max="39" width="10.140625" style="56" customWidth="1"/>
    <col min="40" max="40" width="13.28515625" style="56" customWidth="1"/>
    <col min="41" max="41" width="18.5703125" style="56" customWidth="1"/>
    <col min="42" max="42" width="9.28515625" style="56" customWidth="1"/>
    <col min="43" max="16384" width="11.42578125" style="56"/>
  </cols>
  <sheetData>
    <row r="2" spans="1:74" customFormat="1" ht="15" customHeight="1" x14ac:dyDescent="0.25">
      <c r="A2" s="197" t="s">
        <v>354</v>
      </c>
      <c r="B2" s="197"/>
      <c r="C2" s="197"/>
      <c r="D2" s="148"/>
      <c r="E2" s="198" t="s">
        <v>355</v>
      </c>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row>
    <row r="3" spans="1:74" customFormat="1" ht="15" customHeight="1" x14ac:dyDescent="0.25">
      <c r="A3" s="197"/>
      <c r="B3" s="197"/>
      <c r="C3" s="197"/>
      <c r="D3" s="149"/>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row>
    <row r="4" spans="1:74" customFormat="1" ht="15" customHeight="1" x14ac:dyDescent="0.25">
      <c r="A4" s="197"/>
      <c r="B4" s="197"/>
      <c r="C4" s="197"/>
      <c r="D4" s="150"/>
      <c r="E4" s="198" t="s">
        <v>356</v>
      </c>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row>
    <row r="5" spans="1:74" customFormat="1" ht="15.75" customHeight="1" x14ac:dyDescent="0.25">
      <c r="A5" s="197"/>
      <c r="B5" s="197"/>
      <c r="C5" s="197"/>
      <c r="D5" s="151"/>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9">
        <v>44553</v>
      </c>
      <c r="AN5" s="199"/>
      <c r="AO5" s="199"/>
      <c r="AP5" s="199"/>
    </row>
    <row r="6" spans="1:74" x14ac:dyDescent="0.2">
      <c r="A6" s="239"/>
      <c r="B6" s="239"/>
      <c r="C6" s="239"/>
      <c r="D6" s="240"/>
      <c r="E6" s="239"/>
      <c r="F6" s="239"/>
      <c r="G6" s="239"/>
      <c r="H6" s="239"/>
      <c r="I6" s="239"/>
      <c r="J6" s="239"/>
      <c r="K6" s="241" t="s">
        <v>106</v>
      </c>
      <c r="L6" s="241"/>
      <c r="M6" s="241"/>
      <c r="N6" s="241"/>
      <c r="O6" s="241"/>
      <c r="P6" s="241"/>
      <c r="Q6" s="241"/>
      <c r="R6" s="241"/>
      <c r="S6" s="251" t="s">
        <v>107</v>
      </c>
      <c r="T6" s="252"/>
      <c r="U6" s="252"/>
      <c r="V6" s="252"/>
      <c r="W6" s="252"/>
      <c r="X6" s="252"/>
      <c r="Y6" s="252"/>
      <c r="Z6" s="252"/>
      <c r="AA6" s="252"/>
      <c r="AB6" s="253"/>
      <c r="AC6" s="242" t="s">
        <v>108</v>
      </c>
      <c r="AD6" s="242"/>
      <c r="AE6" s="242"/>
      <c r="AF6" s="242"/>
      <c r="AG6" s="242"/>
      <c r="AH6" s="242"/>
      <c r="AI6" s="242"/>
      <c r="AJ6" s="242"/>
      <c r="AK6" s="238" t="s">
        <v>33</v>
      </c>
      <c r="AL6" s="238"/>
      <c r="AM6" s="238"/>
      <c r="AN6" s="238"/>
      <c r="AO6" s="238"/>
      <c r="AP6" s="238"/>
    </row>
    <row r="7" spans="1:74" ht="16.5" customHeight="1" x14ac:dyDescent="0.2">
      <c r="A7" s="223" t="s">
        <v>146</v>
      </c>
      <c r="B7" s="245" t="s">
        <v>350</v>
      </c>
      <c r="C7" s="247" t="s">
        <v>1</v>
      </c>
      <c r="D7" s="246" t="s">
        <v>2</v>
      </c>
      <c r="E7" s="246" t="s">
        <v>40</v>
      </c>
      <c r="F7" s="247" t="s">
        <v>0</v>
      </c>
      <c r="G7" s="246" t="s">
        <v>45</v>
      </c>
      <c r="H7" s="228" t="s">
        <v>218</v>
      </c>
      <c r="I7" s="135"/>
      <c r="J7" s="246" t="s">
        <v>102</v>
      </c>
      <c r="K7" s="225" t="s">
        <v>32</v>
      </c>
      <c r="L7" s="257" t="s">
        <v>4</v>
      </c>
      <c r="M7" s="226" t="s">
        <v>71</v>
      </c>
      <c r="N7" s="225" t="s">
        <v>41</v>
      </c>
      <c r="O7" s="226" t="s">
        <v>352</v>
      </c>
      <c r="P7" s="225" t="s">
        <v>41</v>
      </c>
      <c r="Q7" s="257" t="s">
        <v>4</v>
      </c>
      <c r="R7" s="225" t="s">
        <v>44</v>
      </c>
      <c r="S7" s="234" t="s">
        <v>10</v>
      </c>
      <c r="T7" s="243" t="s">
        <v>113</v>
      </c>
      <c r="U7" s="243" t="s">
        <v>11</v>
      </c>
      <c r="V7" s="254" t="s">
        <v>7</v>
      </c>
      <c r="W7" s="255"/>
      <c r="X7" s="255"/>
      <c r="Y7" s="255"/>
      <c r="Z7" s="255"/>
      <c r="AA7" s="255"/>
      <c r="AB7" s="256"/>
      <c r="AC7" s="236" t="s">
        <v>105</v>
      </c>
      <c r="AD7" s="232" t="s">
        <v>42</v>
      </c>
      <c r="AE7" s="232" t="s">
        <v>4</v>
      </c>
      <c r="AF7" s="232" t="s">
        <v>43</v>
      </c>
      <c r="AG7" s="232" t="s">
        <v>4</v>
      </c>
      <c r="AH7" s="232" t="s">
        <v>244</v>
      </c>
      <c r="AI7" s="232" t="s">
        <v>353</v>
      </c>
      <c r="AJ7" s="232" t="s">
        <v>28</v>
      </c>
      <c r="AK7" s="230" t="s">
        <v>33</v>
      </c>
      <c r="AL7" s="230" t="s">
        <v>34</v>
      </c>
      <c r="AM7" s="230" t="s">
        <v>35</v>
      </c>
      <c r="AN7" s="230" t="s">
        <v>36</v>
      </c>
      <c r="AO7" s="230" t="s">
        <v>165</v>
      </c>
      <c r="AP7" s="230" t="s">
        <v>37</v>
      </c>
    </row>
    <row r="8" spans="1:74" s="57" customFormat="1" ht="94.5" customHeight="1" x14ac:dyDescent="0.25">
      <c r="A8" s="224"/>
      <c r="B8" s="223"/>
      <c r="C8" s="248"/>
      <c r="D8" s="228"/>
      <c r="E8" s="228"/>
      <c r="F8" s="248"/>
      <c r="G8" s="228"/>
      <c r="H8" s="229"/>
      <c r="I8" s="136" t="s">
        <v>351</v>
      </c>
      <c r="J8" s="228"/>
      <c r="K8" s="226"/>
      <c r="L8" s="249"/>
      <c r="M8" s="227"/>
      <c r="N8" s="249"/>
      <c r="O8" s="227"/>
      <c r="P8" s="249"/>
      <c r="Q8" s="249"/>
      <c r="R8" s="226"/>
      <c r="S8" s="235"/>
      <c r="T8" s="244"/>
      <c r="U8" s="244"/>
      <c r="V8" s="143" t="s">
        <v>12</v>
      </c>
      <c r="W8" s="143" t="s">
        <v>16</v>
      </c>
      <c r="X8" s="143" t="s">
        <v>27</v>
      </c>
      <c r="Y8" s="143" t="s">
        <v>17</v>
      </c>
      <c r="Z8" s="143" t="s">
        <v>20</v>
      </c>
      <c r="AA8" s="143" t="s">
        <v>23</v>
      </c>
      <c r="AB8" s="143" t="s">
        <v>164</v>
      </c>
      <c r="AC8" s="237"/>
      <c r="AD8" s="233"/>
      <c r="AE8" s="233"/>
      <c r="AF8" s="233"/>
      <c r="AG8" s="233"/>
      <c r="AH8" s="233"/>
      <c r="AI8" s="233"/>
      <c r="AJ8" s="233"/>
      <c r="AK8" s="231"/>
      <c r="AL8" s="231"/>
      <c r="AM8" s="231"/>
      <c r="AN8" s="231"/>
      <c r="AO8" s="231"/>
      <c r="AP8" s="231"/>
      <c r="AV8" s="100"/>
    </row>
    <row r="9" spans="1:74" s="59" customFormat="1" ht="249.75" customHeight="1" x14ac:dyDescent="0.25">
      <c r="A9" s="220" t="s">
        <v>247</v>
      </c>
      <c r="B9" s="413">
        <v>1</v>
      </c>
      <c r="C9" s="207" t="s">
        <v>99</v>
      </c>
      <c r="D9" s="221"/>
      <c r="E9" s="207" t="s">
        <v>236</v>
      </c>
      <c r="F9" s="208" t="s">
        <v>235</v>
      </c>
      <c r="G9" s="207" t="s">
        <v>237</v>
      </c>
      <c r="H9" s="207" t="s">
        <v>221</v>
      </c>
      <c r="I9" s="204" t="s">
        <v>357</v>
      </c>
      <c r="J9" s="200">
        <v>12</v>
      </c>
      <c r="K9" s="209" t="str">
        <f>IF(J9&lt;=0,"",IF(J9&lt;=2,"Muy Baja",IF(J9&lt;=24,"Baja",IF(J9&lt;=500,"Media",IF(J9&lt;=5000,"Alta","Muy Alta")))))</f>
        <v>Baja</v>
      </c>
      <c r="L9" s="210">
        <f>IF(K9="","",IF(K9="Muy Baja",0.2,IF(K9="Baja",0.4,IF(K9="Media",0.6,IF(K9="Alta",0.8,IF(K9="Muy Alta",1,))))))</f>
        <v>0.4</v>
      </c>
      <c r="M9" s="211" t="str">
        <f>+'Tabla Impacto'!I26</f>
        <v>Mayor</v>
      </c>
      <c r="N9" s="209">
        <f>+IF(M9="Moderado",5,IF(M9="Mayor",10,IF(M9="Catastrófico",20,"")))</f>
        <v>10</v>
      </c>
      <c r="O9" s="209" t="str">
        <f>IF(NOT(ISERROR(MATCH(M9,#REF!,0))),#REF!&amp;"Por favor no seleccionar los criterios de impacto(Afectación Económica o presupuestal y Pérdida Reputacional)",M9)</f>
        <v>Mayor</v>
      </c>
      <c r="P9" s="209">
        <f>+IF(M9="Moderado",5,IF(M9="Mayor",10,IF(M9="Catastrófico",20,"")))</f>
        <v>10</v>
      </c>
      <c r="Q9" s="210">
        <f>IF(O9="","",IF(O9="Moderado",0.6,IF(O9="Mayor",0.8,IF(O9="Catastrófico",1,))))</f>
        <v>0.8</v>
      </c>
      <c r="R9" s="212" t="str">
        <f>IF(OR(AND(K9="Muy Baja",O9="Leve"),AND(K9="Muy Baja",O9="Menor"),AND(K9="Baja",O9="Leve")),"Bajo",IF(OR(AND(K9="Muy baja",O9="Moderado"),AND(K9="Baja",O9="Menor"),AND(K9="Baja",O9="Moderado"),AND(K9="Media",O9="Leve"),AND(K9="Media",O9="Menor"),AND(K9="Media",O9="Moderado"),AND(K9="Alta",O9="Leve"),AND(K9="Alta",O9="Menor")),"Moderado",IF(OR(AND(K9="Muy Baja",O9="Mayor"),AND(K9="Baja",O9="Mayor"),AND(K9="Media",O9="Mayor"),AND(K9="Alta",O9="Moderado"),AND(K9="Alta",O9="Mayor"),AND(K9="Muy Alta",O9="Leve"),AND(K9="Muy Alta",O9="Menor"),AND(K9="Muy Alta",O9="Moderado"),AND(K9="Muy Alta",O9="Mayor")),"Alto",IF(OR(AND(K9="Muy Baja",O9="Catastrófico"),AND(K9="Baja",O9="Catastrófico"),AND(K9="Media",O9="Catastrófico"),AND(K9="Alta",O9="Catastrófico"),AND(K9="Muy Alta",O9="Catastrófico")),"Extremo",""))))</f>
        <v>Alto</v>
      </c>
      <c r="S9" s="134">
        <v>1</v>
      </c>
      <c r="T9" s="144" t="s">
        <v>238</v>
      </c>
      <c r="U9" s="118" t="str">
        <f t="shared" ref="U9" si="0">IF(OR(V9="Preventivo",V9="Detectivo"),"Probabilidad",IF(V9="Correctivo","Impacto",""))</f>
        <v>Probabilidad</v>
      </c>
      <c r="V9" s="64" t="s">
        <v>13</v>
      </c>
      <c r="W9" s="64" t="s">
        <v>8</v>
      </c>
      <c r="X9" s="60" t="str">
        <f t="shared" ref="X9:X15" si="1">IF(AND(V9="Preventivo",W9="Automático"),"50%",IF(AND(V9="Preventivo",W9="Manual"),"40%",IF(AND(V9="Detectivo",W9="Automático"),"40%",IF(AND(V9="Detectivo",W9="Manual"),"30%",IF(AND(V9="Correctivo",W9="Automático"),"35%",IF(AND(V9="Correctivo",W9="Manual"),"25%",""))))))</f>
        <v>40%</v>
      </c>
      <c r="Y9" s="64" t="s">
        <v>18</v>
      </c>
      <c r="Z9" s="64" t="s">
        <v>21</v>
      </c>
      <c r="AA9" s="64" t="s">
        <v>88</v>
      </c>
      <c r="AB9" s="54" t="s">
        <v>239</v>
      </c>
      <c r="AC9" s="119">
        <f>IFERROR(IF(U9="Probabilidad",(L9-(+L9*X9)),IF(U9="Impacto",L9,"")),"")</f>
        <v>0.24</v>
      </c>
      <c r="AD9" s="61" t="str">
        <f>IFERROR(IF(AC9="","",IF(AC9&lt;=0.2,"Muy Baja",IF(AC9&lt;=0.4,"Baja",IF(AC9&lt;=0.6,"Media",IF(AC9&lt;=0.8,"Alta","Muy Alta"))))),"")</f>
        <v>Baja</v>
      </c>
      <c r="AE9" s="60">
        <f>+AC9</f>
        <v>0.24</v>
      </c>
      <c r="AF9" s="61" t="str">
        <f>IFERROR(IF(AG9="","",IF(AG9&lt;=0.2,"Leve",IF(AG9&lt;=0.4,"Menor",IF(AG9&lt;=0.6,"Moderado",IF(AG9&lt;=0.8,"Mayor","Catastrófico"))))),"")</f>
        <v>Mayor</v>
      </c>
      <c r="AG9" s="60">
        <f>IFERROR(IF(U9="Impacto",(Q9-(+Q9*X9)),IF(U9="Probabilidad",Q9,"")),"")</f>
        <v>0.8</v>
      </c>
      <c r="AH9" s="62" t="str">
        <f>IFERROR(IF(OR(AND(AD9="Muy Baja",AF9="Leve"),AND(AD9="Muy Baja",AF9="Menor"),AND(AD9="Baja",AF9="Leve")),"Bajo",IF(OR(AND(AD9="Muy baja",AF9="Moderado"),AND(AD9="Baja",AF9="Menor"),AND(AD9="Baja",AF9="Moderado"),AND(AD9="Media",AF9="Leve"),AND(AD9="Media",AF9="Menor"),AND(AD9="Media",AF9="Moderado"),AND(AD9="Alta",AF9="Leve"),AND(AD9="Alta",AF9="Menor")),"Moderado",IF(OR(AND(AD9="Muy Baja",AF9="Mayor"),AND(AD9="Baja",AF9="Mayor"),AND(AD9="Media",AF9="Mayor"),AND(AD9="Alta",AF9="Moderado"),AND(AD9="Alta",AF9="Mayor"),AND(AD9="Muy Alta",AF9="Leve"),AND(AD9="Muy Alta",AF9="Menor"),AND(AD9="Muy Alta",AF9="Moderado"),AND(AD9="Muy Alta",AF9="Mayor")),"Alto",IF(OR(AND(AD9="Muy Baja",AF9="Catastrófico"),AND(AD9="Baja",AF9="Catastrófico"),AND(AD9="Media",AF9="Catastrófico"),AND(AD9="Alta",AF9="Catastrófico"),AND(AD9="Muy Alta",AF9="Catastrófico")),"Extremo","")))),"")</f>
        <v>Alto</v>
      </c>
      <c r="AI9" s="213" t="str">
        <f>IFERROR(IF(OR(AND(AD10="Muy Baja",AF10="Leve"),AND(AD10="Muy Baja",AF10="Menor"),AND(AD10="Baja",AF10="Leve")),"Bajo",IF(OR(AND(AD10="Muy baja",AF10="Moderado"),AND(AD10="Baja",AF10="Menor"),AND(AD10="Baja",AF10="Moderado"),AND(AD10="Media",AF10="Leve"),AND(AD10="Media",AF10="Menor"),AND(AD10="Media",AF10="Moderado"),AND(AD10="Alta",AF10="Leve"),AND(AD10="Alta",AF10="Menor")),"Moderado",IF(OR(AND(AD10="Muy Baja",AF10="Mayor"),AND(AD10="Baja",AF10="Mayor"),AND(AD10="Media",AF10="Mayor"),AND(AD10="Alta",AF10="Moderado"),AND(AD10="Alta",AF10="Mayor"),AND(AD10="Muy Alta",AF10="Leve"),AND(AD10="Muy Alta",AF10="Menor"),AND(AD10="Muy Alta",AF10="Moderado"),AND(AD10="Muy Alta",AF10="Mayor")),"Alto",IF(OR(AND(AD10="Muy Baja",AF10="Catastrófico"),AND(AD10="Baja",AF10="Catastrófico"),AND(AD10="Media",AF10="Catastrófico"),AND(AD10="Alta",AF10="Catastrófico"),AND(AD10="Muy Alta",AF10="Catastrófico")),"Extremo","")))),"")</f>
        <v>Alto</v>
      </c>
      <c r="AJ9" s="64" t="s">
        <v>103</v>
      </c>
      <c r="AK9" s="125" t="s">
        <v>240</v>
      </c>
      <c r="AL9" s="153" t="s">
        <v>363</v>
      </c>
      <c r="AM9" s="145" t="s">
        <v>245</v>
      </c>
      <c r="AN9" s="145" t="s">
        <v>246</v>
      </c>
      <c r="AO9" s="125" t="s">
        <v>243</v>
      </c>
      <c r="AP9" s="126" t="s">
        <v>39</v>
      </c>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row>
    <row r="10" spans="1:74" ht="166.5" customHeight="1" x14ac:dyDescent="0.2">
      <c r="A10" s="220"/>
      <c r="B10" s="414"/>
      <c r="C10" s="207"/>
      <c r="D10" s="221"/>
      <c r="E10" s="207"/>
      <c r="F10" s="208"/>
      <c r="G10" s="207"/>
      <c r="H10" s="207"/>
      <c r="I10" s="205"/>
      <c r="J10" s="200"/>
      <c r="K10" s="209"/>
      <c r="L10" s="210"/>
      <c r="M10" s="211"/>
      <c r="N10" s="209"/>
      <c r="O10" s="209"/>
      <c r="P10" s="209"/>
      <c r="Q10" s="210"/>
      <c r="R10" s="212"/>
      <c r="S10" s="134">
        <v>2</v>
      </c>
      <c r="T10" s="54" t="s">
        <v>241</v>
      </c>
      <c r="U10" s="118" t="str">
        <f t="shared" ref="U10" si="2">IF(OR(V10="Preventivo",V10="Detectivo"),"Probabilidad",IF(V10="Correctivo","Impacto",""))</f>
        <v>Probabilidad</v>
      </c>
      <c r="V10" s="64" t="s">
        <v>13</v>
      </c>
      <c r="W10" s="64" t="s">
        <v>8</v>
      </c>
      <c r="X10" s="60" t="str">
        <f t="shared" si="1"/>
        <v>40%</v>
      </c>
      <c r="Y10" s="64" t="s">
        <v>18</v>
      </c>
      <c r="Z10" s="64" t="s">
        <v>21</v>
      </c>
      <c r="AA10" s="64" t="s">
        <v>88</v>
      </c>
      <c r="AB10" s="54" t="s">
        <v>242</v>
      </c>
      <c r="AC10" s="119">
        <f>IFERROR(IF(AND(U9="Probabilidad",U10="Probabilidad"),(AE9-(+AE9*X10)),IF(U10="Probabilidad",(M9-(+M9*X10)),IF(U10="Impacto",AE9,""))),"")</f>
        <v>0.14399999999999999</v>
      </c>
      <c r="AD10" s="61" t="str">
        <f>IFERROR(IF(AC10="","",IF(AC10&lt;=0.2,"Muy Baja",IF(AC10&lt;=0.4,"Baja",IF(AC10&lt;=0.6,"Media",IF(AC10&lt;=0.8,"Alta","Muy Alta"))))),"")</f>
        <v>Muy Baja</v>
      </c>
      <c r="AE10" s="60">
        <f>+AC10</f>
        <v>0.14399999999999999</v>
      </c>
      <c r="AF10" s="61" t="str">
        <f>IFERROR(IF(AG10="","",IF(AG10&lt;=0.2,"Leve",IF(AG10&lt;=0.4,"Menor",IF(AG10&lt;=0.6,"Moderado",IF(AG10&lt;=0.8,"Mayor","Catastrófico"))))),"")</f>
        <v>Mayor</v>
      </c>
      <c r="AG10" s="60">
        <f>IFERROR(IF(AND(U9="Impacto",U10="Impacto"),(AG9-(+AG9*X10)),IF(U10="Impacto",($N$9-(+$N$9*X10)),IF(U10="Probabilidad",AG9,""))),"")</f>
        <v>0.8</v>
      </c>
      <c r="AH10" s="62" t="str">
        <f>IFERROR(IF(OR(AND(AD10="Muy Baja",AF10="Leve"),AND(AD10="Muy Baja",AF10="Menor"),AND(AD10="Baja",AF10="Leve")),"Bajo",IF(OR(AND(AD10="Muy baja",AF10="Moderado"),AND(AD10="Baja",AF10="Menor"),AND(AD10="Baja",AF10="Moderado"),AND(AD10="Media",AF10="Leve"),AND(AD10="Media",AF10="Menor"),AND(AD10="Media",AF10="Moderado"),AND(AD10="Alta",AF10="Leve"),AND(AD10="Alta",AF10="Menor")),"Moderado",IF(OR(AND(AD10="Muy Baja",AF10="Mayor"),AND(AD10="Baja",AF10="Mayor"),AND(AD10="Media",AF10="Mayor"),AND(AD10="Alta",AF10="Moderado"),AND(AD10="Alta",AF10="Mayor"),AND(AD10="Muy Alta",AF10="Leve"),AND(AD10="Muy Alta",AF10="Menor"),AND(AD10="Muy Alta",AF10="Moderado"),AND(AD10="Muy Alta",AF10="Mayor")),"Alto",IF(OR(AND(AD10="Muy Baja",AF10="Catastrófico"),AND(AD10="Baja",AF10="Catastrófico"),AND(AD10="Media",AF10="Catastrófico"),AND(AD10="Alta",AF10="Catastrófico"),AND(AD10="Muy Alta",AF10="Catastrófico")),"Extremo","")))),"")</f>
        <v>Alto</v>
      </c>
      <c r="AI10" s="213"/>
      <c r="AJ10" s="64" t="s">
        <v>103</v>
      </c>
      <c r="AK10" s="125" t="s">
        <v>234</v>
      </c>
      <c r="AL10" s="153" t="s">
        <v>363</v>
      </c>
      <c r="AM10" s="145" t="s">
        <v>245</v>
      </c>
      <c r="AN10" s="145" t="s">
        <v>246</v>
      </c>
      <c r="AO10" s="54" t="s">
        <v>242</v>
      </c>
      <c r="AP10" s="126" t="s">
        <v>39</v>
      </c>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row>
    <row r="11" spans="1:74" ht="108.75" customHeight="1" x14ac:dyDescent="0.2">
      <c r="A11" s="131" t="s">
        <v>348</v>
      </c>
      <c r="B11" s="137">
        <v>2</v>
      </c>
      <c r="C11" s="131" t="s">
        <v>100</v>
      </c>
      <c r="D11" s="138"/>
      <c r="E11" s="131" t="s">
        <v>248</v>
      </c>
      <c r="F11" s="128" t="s">
        <v>249</v>
      </c>
      <c r="G11" s="131" t="s">
        <v>92</v>
      </c>
      <c r="H11" s="131" t="s">
        <v>250</v>
      </c>
      <c r="I11" s="131" t="s">
        <v>357</v>
      </c>
      <c r="J11" s="132">
        <v>36</v>
      </c>
      <c r="K11" s="133" t="str">
        <f>IF(J11&lt;=0,"",IF(J11&lt;=2,"Muy Baja",IF(J11&lt;=24,"Baja",IF(J11&lt;=500,"Media",IF(J11&lt;=5000,"Alta","Muy Alta")))))</f>
        <v>Media</v>
      </c>
      <c r="L11" s="129">
        <f>IF(K11="","",IF(K11="Muy Baja",0.2,IF(K11="Baja",0.4,IF(K11="Media",0.6,IF(K11="Alta",0.8,IF(K11="Muy Alta",1,))))))</f>
        <v>0.6</v>
      </c>
      <c r="M11" s="139">
        <f>+'[1]Tabla Impacto'!J29</f>
        <v>0</v>
      </c>
      <c r="N11" s="133">
        <v>10</v>
      </c>
      <c r="O11" s="133" t="str">
        <f>'[1]Mapa final'!M10</f>
        <v>Mayor</v>
      </c>
      <c r="P11" s="133">
        <f>'[1]Mapa final'!N10</f>
        <v>10</v>
      </c>
      <c r="Q11" s="129">
        <f>'[1]Mapa final'!O10</f>
        <v>0.8</v>
      </c>
      <c r="R11" s="130" t="str">
        <f>'[1]Mapa final'!P10</f>
        <v>Alto</v>
      </c>
      <c r="S11" s="134">
        <v>1</v>
      </c>
      <c r="T11" s="54" t="s">
        <v>251</v>
      </c>
      <c r="U11" s="118" t="str">
        <f t="shared" ref="U11" si="3">IF(OR(V11="Preventivo",V11="Detectivo"),"Probabilidad",IF(V11="Correctivo","Impacto",""))</f>
        <v>Probabilidad</v>
      </c>
      <c r="V11" s="64" t="s">
        <v>13</v>
      </c>
      <c r="W11" s="64" t="s">
        <v>8</v>
      </c>
      <c r="X11" s="60" t="str">
        <f t="shared" si="1"/>
        <v>40%</v>
      </c>
      <c r="Y11" s="64" t="s">
        <v>18</v>
      </c>
      <c r="Z11" s="64" t="s">
        <v>21</v>
      </c>
      <c r="AA11" s="64" t="s">
        <v>88</v>
      </c>
      <c r="AB11" s="54" t="s">
        <v>252</v>
      </c>
      <c r="AC11" s="119">
        <f>IFERROR(IF(U11="Probabilidad",(L11-(+L11*X11)),IF(U11="Impacto",L11,"")),"")</f>
        <v>0.36</v>
      </c>
      <c r="AD11" s="61" t="str">
        <f>IFERROR(IF(AC11="","",IF(AC11&lt;=0.2,"Muy Baja",IF(AC11&lt;=0.4,"Baja",IF(AC11&lt;=0.6,"Media",IF(AC11&lt;=0.8,"Alta","Muy Alta"))))),"")</f>
        <v>Baja</v>
      </c>
      <c r="AE11" s="60">
        <f>+AC11</f>
        <v>0.36</v>
      </c>
      <c r="AF11" s="61" t="str">
        <f>IFERROR(IF(AG11="","",IF(AG11&lt;=0.2,"Leve",IF(AG11&lt;=0.4,"Menor",IF(AG11&lt;=0.6,"Moderado",IF(AG11&lt;=0.8,"Mayor","Catastrófico"))))),"")</f>
        <v>Mayor</v>
      </c>
      <c r="AG11" s="60">
        <f>IFERROR(IF(U11="Impacto",(Q11-(+Q11*X11)),IF(U11="Probabilidad",Q11,"")),"")</f>
        <v>0.8</v>
      </c>
      <c r="AH11" s="62"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Alto</v>
      </c>
      <c r="AI11" s="62" t="str">
        <f>$AH$11</f>
        <v>Alto</v>
      </c>
      <c r="AJ11" s="64" t="s">
        <v>31</v>
      </c>
      <c r="AK11" s="131" t="s">
        <v>253</v>
      </c>
      <c r="AL11" s="131" t="s">
        <v>253</v>
      </c>
      <c r="AM11" s="131" t="s">
        <v>253</v>
      </c>
      <c r="AN11" s="131" t="s">
        <v>253</v>
      </c>
      <c r="AO11" s="131" t="s">
        <v>253</v>
      </c>
      <c r="AP11" s="126"/>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row>
    <row r="12" spans="1:74" ht="127.5" customHeight="1" x14ac:dyDescent="0.2">
      <c r="A12" s="207" t="s">
        <v>256</v>
      </c>
      <c r="B12" s="415">
        <v>3</v>
      </c>
      <c r="C12" s="207" t="s">
        <v>101</v>
      </c>
      <c r="D12" s="221"/>
      <c r="E12" s="207" t="s">
        <v>254</v>
      </c>
      <c r="F12" s="208" t="s">
        <v>255</v>
      </c>
      <c r="G12" s="207" t="s">
        <v>92</v>
      </c>
      <c r="H12" s="207" t="s">
        <v>256</v>
      </c>
      <c r="I12" s="204" t="s">
        <v>357</v>
      </c>
      <c r="J12" s="200">
        <v>1</v>
      </c>
      <c r="K12" s="209" t="str">
        <f>IF(J12&lt;=0,"",IF(J12&lt;=2,"Muy Baja",IF(J12&lt;=24,"Baja",IF(J12&lt;=500,"Media",IF(J12&lt;=5000,"Alta","Muy Alta")))))</f>
        <v>Muy Baja</v>
      </c>
      <c r="L12" s="210">
        <f>'[2]Mapa final'!J10</f>
        <v>0.2</v>
      </c>
      <c r="M12" s="211" t="str">
        <f>'[2]Mapa final'!K10</f>
        <v>Mayor</v>
      </c>
      <c r="N12" s="250">
        <v>10</v>
      </c>
      <c r="O12" s="217" t="str">
        <f>'[2]Mapa final'!M10</f>
        <v>Mayor</v>
      </c>
      <c r="P12" s="217">
        <f>'[2]Mapa final'!N10</f>
        <v>10</v>
      </c>
      <c r="Q12" s="210">
        <f>'[2]Mapa final'!O10</f>
        <v>0.8</v>
      </c>
      <c r="R12" s="218" t="str">
        <f>'[2]Mapa final'!P10</f>
        <v>Alto</v>
      </c>
      <c r="S12" s="134">
        <v>1</v>
      </c>
      <c r="T12" s="54" t="s">
        <v>358</v>
      </c>
      <c r="U12" s="118" t="str">
        <f>IF(OR(V12="Preventivo",V12="Detectivo"),"Probabilidad",IF(V12="Correctivo","Impacto",""))</f>
        <v>Probabilidad</v>
      </c>
      <c r="V12" s="64" t="s">
        <v>13</v>
      </c>
      <c r="W12" s="64" t="s">
        <v>8</v>
      </c>
      <c r="X12" s="60" t="str">
        <f t="shared" si="1"/>
        <v>40%</v>
      </c>
      <c r="Y12" s="64" t="s">
        <v>18</v>
      </c>
      <c r="Z12" s="64" t="s">
        <v>21</v>
      </c>
      <c r="AA12" s="64" t="s">
        <v>88</v>
      </c>
      <c r="AB12" s="54" t="s">
        <v>257</v>
      </c>
      <c r="AC12" s="119">
        <f>IFERROR(IF(U12="Probabilidad",(L12-(+L12*X12)),IF(U12="Impacto",L12,"")),"")</f>
        <v>0.12</v>
      </c>
      <c r="AD12" s="61" t="str">
        <f>IFERROR(IF(AC12="","",IF(AC12&lt;=0.2,"Muy Baja",IF(AC12&lt;=0.4,"Baja",IF(AC12&lt;=0.6,"Media",IF(AC12&lt;=0.8,"Alta","Muy Alta"))))),"")</f>
        <v>Muy Baja</v>
      </c>
      <c r="AE12" s="60">
        <f>+AC12</f>
        <v>0.12</v>
      </c>
      <c r="AF12" s="61" t="str">
        <f>IFERROR(IF(AG12="","",IF(AG12&lt;=0.2,"Leve",IF(AG12&lt;=0.4,"Menor",IF(AG12&lt;=0.6,"Moderado",IF(AG12&lt;=0.8,"Mayor","Catastrófico"))))),"")</f>
        <v>Mayor</v>
      </c>
      <c r="AG12" s="60">
        <f>IFERROR(IF(U12="Impacto",(Q12-(+Q12*X12)),IF(U12="Probabilidad",Q12,"")),"")</f>
        <v>0.8</v>
      </c>
      <c r="AH12" s="62"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Alto</v>
      </c>
      <c r="AI12" s="213"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Alto</v>
      </c>
      <c r="AJ12" s="214" t="s">
        <v>103</v>
      </c>
      <c r="AK12" s="207" t="s">
        <v>258</v>
      </c>
      <c r="AL12" s="207" t="s">
        <v>259</v>
      </c>
      <c r="AM12" s="215" t="s">
        <v>260</v>
      </c>
      <c r="AN12" s="216" t="s">
        <v>246</v>
      </c>
      <c r="AO12" s="207" t="s">
        <v>261</v>
      </c>
      <c r="AP12" s="200" t="s">
        <v>39</v>
      </c>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row>
    <row r="13" spans="1:74" ht="129.75" customHeight="1" x14ac:dyDescent="0.2">
      <c r="A13" s="207"/>
      <c r="B13" s="416"/>
      <c r="C13" s="207"/>
      <c r="D13" s="221"/>
      <c r="E13" s="207"/>
      <c r="F13" s="208"/>
      <c r="G13" s="207"/>
      <c r="H13" s="207"/>
      <c r="I13" s="206"/>
      <c r="J13" s="200"/>
      <c r="K13" s="209"/>
      <c r="L13" s="210"/>
      <c r="M13" s="211"/>
      <c r="N13" s="250"/>
      <c r="O13" s="209"/>
      <c r="P13" s="209"/>
      <c r="Q13" s="210"/>
      <c r="R13" s="212"/>
      <c r="S13" s="134">
        <v>2</v>
      </c>
      <c r="T13" s="54" t="s">
        <v>262</v>
      </c>
      <c r="U13" s="118" t="str">
        <f t="shared" ref="U13:U17" si="4">IF(OR(V13="Preventivo",V13="Detectivo"),"Probabilidad",IF(V13="Correctivo","Impacto",""))</f>
        <v>Probabilidad</v>
      </c>
      <c r="V13" s="64" t="s">
        <v>13</v>
      </c>
      <c r="W13" s="64" t="s">
        <v>8</v>
      </c>
      <c r="X13" s="60" t="str">
        <f t="shared" si="1"/>
        <v>40%</v>
      </c>
      <c r="Y13" s="64" t="s">
        <v>18</v>
      </c>
      <c r="Z13" s="64" t="s">
        <v>21</v>
      </c>
      <c r="AA13" s="64" t="s">
        <v>88</v>
      </c>
      <c r="AB13" s="54" t="s">
        <v>263</v>
      </c>
      <c r="AC13" s="119">
        <f>IFERROR(IF(AND(U12="Probabilidad",U13="Probabilidad"),(AE12-(+AE12*X13)),IF(U13="Probabilidad",(L12-(+L12*X13)),IF(U13="Impacto",AE12,""))),"")</f>
        <v>7.1999999999999995E-2</v>
      </c>
      <c r="AD13" s="61" t="str">
        <f t="shared" ref="AD13" si="5">IFERROR(IF(AC13="","",IF(AC13&lt;=0.2,"Muy Baja",IF(AC13&lt;=0.4,"Baja",IF(AC13&lt;=0.6,"Media",IF(AC13&lt;=0.8,"Alta","Muy Alta"))))),"")</f>
        <v>Muy Baja</v>
      </c>
      <c r="AE13" s="60">
        <f t="shared" ref="AE13:AE14" si="6">+AC13</f>
        <v>7.1999999999999995E-2</v>
      </c>
      <c r="AF13" s="61" t="str">
        <f t="shared" ref="AF13:AF14" si="7">IFERROR(IF(AG13="","",IF(AG13&lt;=0.2,"Leve",IF(AG13&lt;=0.4,"Menor",IF(AG13&lt;=0.6,"Moderado",IF(AG13&lt;=0.8,"Mayor","Catastrófico"))))),"")</f>
        <v>Mayor</v>
      </c>
      <c r="AG13" s="60">
        <f>IFERROR(IF(AND(U12="Impacto",U13="Impacto"),(AG12-(+AG12*X13)),IF(U13="Impacto",($P$9-(+$P$9*X13)),IF(U13="Probabilidad",AG12,""))),"")</f>
        <v>0.8</v>
      </c>
      <c r="AH13" s="62"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Alto</v>
      </c>
      <c r="AI13" s="213" t="str">
        <f t="shared" ref="AI13:AI14" si="8">IFERROR(IF(OR(AND(AE13="Muy Baja",AG13="Leve"),AND(AE13="Muy Baja",AG13="Menor"),AND(AE13="Baja",AG13="Leve")),"Bajo",IF(OR(AND(AE13="Muy baja",AG13="Moderado"),AND(AE13="Baja",AG13="Menor"),AND(AE13="Baja",AG13="Moderado"),AND(AE13="Media",AG13="Leve"),AND(AE13="Media",AG13="Menor"),AND(AE13="Media",AG13="Moderado"),AND(AE13="Alta",AG13="Leve"),AND(AE13="Alta",AG13="Menor")),"Moderado",IF(OR(AND(AE13="Muy Baja",AG13="Mayor"),AND(AE13="Baja",AG13="Mayor"),AND(AE13="Media",AG13="Mayor"),AND(AE13="Alta",AG13="Moderado"),AND(AE13="Alta",AG13="Mayor"),AND(AE13="Muy Alta",AG13="Leve"),AND(AE13="Muy Alta",AG13="Menor"),AND(AE13="Muy Alta",AG13="Moderado"),AND(AE13="Muy Alta",AG13="Mayor")),"Alto",IF(OR(AND(AE13="Muy Baja",AG13="Catastrófico"),AND(AE13="Baja",AG13="Catastrófico"),AND(AE13="Media",AG13="Catastrófico"),AND(AE13="Alta",AG13="Catastrófico"),AND(AE13="Muy Alta",AG13="Catastrófico")),"Extremo","")))),"")</f>
        <v/>
      </c>
      <c r="AJ13" s="214"/>
      <c r="AK13" s="207"/>
      <c r="AL13" s="207"/>
      <c r="AM13" s="215"/>
      <c r="AN13" s="216"/>
      <c r="AO13" s="207"/>
      <c r="AP13" s="200"/>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row>
    <row r="14" spans="1:74" ht="141.75" customHeight="1" x14ac:dyDescent="0.2">
      <c r="A14" s="207"/>
      <c r="B14" s="417"/>
      <c r="C14" s="207"/>
      <c r="D14" s="221"/>
      <c r="E14" s="207"/>
      <c r="F14" s="208"/>
      <c r="G14" s="207"/>
      <c r="H14" s="207"/>
      <c r="I14" s="205"/>
      <c r="J14" s="200"/>
      <c r="K14" s="209"/>
      <c r="L14" s="210"/>
      <c r="M14" s="211"/>
      <c r="N14" s="250"/>
      <c r="O14" s="209"/>
      <c r="P14" s="209"/>
      <c r="Q14" s="210"/>
      <c r="R14" s="212"/>
      <c r="S14" s="134">
        <v>3</v>
      </c>
      <c r="T14" s="54" t="s">
        <v>264</v>
      </c>
      <c r="U14" s="118" t="str">
        <f t="shared" si="4"/>
        <v>Probabilidad</v>
      </c>
      <c r="V14" s="64" t="s">
        <v>13</v>
      </c>
      <c r="W14" s="64" t="s">
        <v>8</v>
      </c>
      <c r="X14" s="60" t="str">
        <f t="shared" si="1"/>
        <v>40%</v>
      </c>
      <c r="Y14" s="64" t="s">
        <v>18</v>
      </c>
      <c r="Z14" s="64" t="s">
        <v>21</v>
      </c>
      <c r="AA14" s="64" t="s">
        <v>88</v>
      </c>
      <c r="AB14" s="54" t="s">
        <v>265</v>
      </c>
      <c r="AC14" s="119">
        <f>IFERROR(IF(AND(U13="Probabilidad",U14="Probabilidad"),(AE13-(+AE13*X14)),IF(AND(U13="Impacto",U14="Probabilidad"),(AE12-(+AE12*X14)),IF(U14="Impacto",AE13,""))),"")</f>
        <v>4.3199999999999995E-2</v>
      </c>
      <c r="AD14" s="61" t="str">
        <f>IFERROR(IF(AC14="","",IF(AC14&lt;=0.2,"Muy Baja",IF(AC14&lt;=0.4,"Baja",IF(AC14&lt;=0.6,"Media",IF(AC14&lt;=0.8,"Alta","Muy Alta"))))),"")</f>
        <v>Muy Baja</v>
      </c>
      <c r="AE14" s="60">
        <f t="shared" si="6"/>
        <v>4.3199999999999995E-2</v>
      </c>
      <c r="AF14" s="61" t="str">
        <f t="shared" si="7"/>
        <v>Mayor</v>
      </c>
      <c r="AG14" s="60">
        <f>IFERROR(IF(AND(U13="Impacto",U14="Impacto"),(AG13-(+AG13*X14)),IF(AND(U13="Probabilidad",U14="Impacto"),(AG12-(+AG12*X14)),IF(U14="Probabilidad",AG13,""))),"")</f>
        <v>0.8</v>
      </c>
      <c r="AH14" s="62" t="str">
        <f t="shared" ref="AH14" si="9">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Alto</v>
      </c>
      <c r="AI14" s="213" t="str">
        <f t="shared" si="8"/>
        <v/>
      </c>
      <c r="AJ14" s="214"/>
      <c r="AK14" s="207"/>
      <c r="AL14" s="207"/>
      <c r="AM14" s="215"/>
      <c r="AN14" s="216"/>
      <c r="AO14" s="207"/>
      <c r="AP14" s="200"/>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row>
    <row r="15" spans="1:74" ht="104.25" customHeight="1" x14ac:dyDescent="0.2">
      <c r="A15" s="201" t="s">
        <v>268</v>
      </c>
      <c r="B15" s="413">
        <v>4</v>
      </c>
      <c r="C15" s="207" t="s">
        <v>101</v>
      </c>
      <c r="D15" s="221"/>
      <c r="E15" s="207" t="s">
        <v>266</v>
      </c>
      <c r="F15" s="208" t="s">
        <v>267</v>
      </c>
      <c r="G15" s="207" t="s">
        <v>93</v>
      </c>
      <c r="H15" s="207" t="s">
        <v>268</v>
      </c>
      <c r="I15" s="204" t="s">
        <v>357</v>
      </c>
      <c r="J15" s="200">
        <v>205</v>
      </c>
      <c r="K15" s="209" t="str">
        <f>IF(J15&lt;=0,"",IF(J15&lt;=2,"Muy Baja",IF(J15&lt;=24,"Baja",IF(J15&lt;=500,"Media",IF(J15&lt;=5000,"Alta","Muy Alta")))))</f>
        <v>Media</v>
      </c>
      <c r="L15" s="210">
        <f>IF(K15="","",IF(K15="Muy Baja",0.2,IF(K15="Baja",0.4,IF(K15="Media",0.6,IF(K15="Alta",0.8,IF(K15="Muy Alta",1,))))))</f>
        <v>0.6</v>
      </c>
      <c r="M15" s="211" t="str">
        <f>'[3]Mapa final'!M10</f>
        <v>Catastrófico</v>
      </c>
      <c r="N15" s="209">
        <f>+IF(M15="Moderado",5,IF(M15="Mayor",10,IF(M15="Catastrófico",20,"")))</f>
        <v>20</v>
      </c>
      <c r="O15" s="209" t="str">
        <f>IF(NOT(ISERROR(MATCH(M15,#REF!,0))),#REF!&amp;"Por favor no seleccionar los criterios de impacto(Afectación Económica o presupuestal y Pérdida Reputacional)",M15)</f>
        <v>Catastrófico</v>
      </c>
      <c r="P15" s="209">
        <f>+IF(M15="Moderado",5,IF(M15="Mayor",10,IF(M15="Catastrófico",20,"")))</f>
        <v>20</v>
      </c>
      <c r="Q15" s="210">
        <f>IF(O15="","",IF(O15="Moderado",0.6,IF(O15="Mayor",0.8,IF(O15="Catastrófico",1,))))</f>
        <v>1</v>
      </c>
      <c r="R15" s="212"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Extremo</v>
      </c>
      <c r="S15" s="134">
        <v>1</v>
      </c>
      <c r="T15" s="54" t="s">
        <v>359</v>
      </c>
      <c r="U15" s="118" t="str">
        <f t="shared" si="4"/>
        <v>Probabilidad</v>
      </c>
      <c r="V15" s="64" t="s">
        <v>13</v>
      </c>
      <c r="W15" s="64" t="s">
        <v>8</v>
      </c>
      <c r="X15" s="60" t="str">
        <f t="shared" si="1"/>
        <v>40%</v>
      </c>
      <c r="Y15" s="64" t="s">
        <v>18</v>
      </c>
      <c r="Z15" s="64" t="s">
        <v>21</v>
      </c>
      <c r="AA15" s="64" t="s">
        <v>88</v>
      </c>
      <c r="AB15" s="54" t="s">
        <v>269</v>
      </c>
      <c r="AC15" s="119">
        <f>IFERROR(IF(U15="Probabilidad",(L15-(+L15*X15)),IF(U15="Impacto",L15,"")),"")</f>
        <v>0.36</v>
      </c>
      <c r="AD15" s="61" t="str">
        <f>IFERROR(IF(AC15="","",IF(AC15&lt;=0.2,"Muy Baja",IF(AC15&lt;=0.4,"Baja",IF(AC15&lt;=0.6,"Media",IF(AC15&lt;=0.8,"Alta","Muy Alta"))))),"")</f>
        <v>Baja</v>
      </c>
      <c r="AE15" s="60">
        <f>+AC15</f>
        <v>0.36</v>
      </c>
      <c r="AF15" s="61" t="str">
        <f>IFERROR(IF(AG15="","",IF(AG15&lt;=0.2,"Leve",IF(AG15&lt;=0.4,"Menor",IF(AG15&lt;=0.6,"Moderado",IF(AG15&lt;=0.8,"Mayor","Catastrófico"))))),"")</f>
        <v>Catastrófico</v>
      </c>
      <c r="AG15" s="60">
        <f>IFERROR(IF(U15="Impacto",(Q15-(+Q15*X15)),IF(U15="Probabilidad",Q15,"")),"")</f>
        <v>1</v>
      </c>
      <c r="AH15" s="62"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Extremo</v>
      </c>
      <c r="AI15" s="213"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Extremo</v>
      </c>
      <c r="AJ15" s="214" t="s">
        <v>31</v>
      </c>
      <c r="AK15" s="207" t="s">
        <v>253</v>
      </c>
      <c r="AL15" s="207" t="s">
        <v>253</v>
      </c>
      <c r="AM15" s="207" t="s">
        <v>253</v>
      </c>
      <c r="AN15" s="207" t="s">
        <v>253</v>
      </c>
      <c r="AO15" s="207" t="s">
        <v>253</v>
      </c>
      <c r="AP15" s="207" t="s">
        <v>253</v>
      </c>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row>
    <row r="16" spans="1:74" ht="84" customHeight="1" x14ac:dyDescent="0.2">
      <c r="A16" s="201"/>
      <c r="B16" s="414"/>
      <c r="C16" s="207"/>
      <c r="D16" s="221"/>
      <c r="E16" s="207"/>
      <c r="F16" s="208"/>
      <c r="G16" s="207"/>
      <c r="H16" s="207"/>
      <c r="I16" s="205"/>
      <c r="J16" s="200"/>
      <c r="K16" s="209"/>
      <c r="L16" s="210"/>
      <c r="M16" s="211"/>
      <c r="N16" s="209"/>
      <c r="O16" s="209"/>
      <c r="P16" s="209"/>
      <c r="Q16" s="210"/>
      <c r="R16" s="212"/>
      <c r="S16" s="134">
        <v>2</v>
      </c>
      <c r="T16" s="54" t="s">
        <v>270</v>
      </c>
      <c r="U16" s="118" t="str">
        <f t="shared" si="4"/>
        <v>Probabilidad</v>
      </c>
      <c r="V16" s="64" t="s">
        <v>13</v>
      </c>
      <c r="W16" s="64" t="s">
        <v>8</v>
      </c>
      <c r="X16" s="60" t="str">
        <f t="shared" ref="X16" si="10">IF(AND(V16="Preventivo",W16="Automático"),"50%",IF(AND(V16="Preventivo",W16="Manual"),"40%",IF(AND(V16="Detectivo",W16="Automático"),"40%",IF(AND(V16="Detectivo",W16="Manual"),"30%",IF(AND(V16="Correctivo",W16="Automático"),"35%",IF(AND(V16="Correctivo",W16="Manual"),"25%",""))))))</f>
        <v>40%</v>
      </c>
      <c r="Y16" s="64" t="s">
        <v>18</v>
      </c>
      <c r="Z16" s="64" t="s">
        <v>21</v>
      </c>
      <c r="AA16" s="64" t="s">
        <v>88</v>
      </c>
      <c r="AB16" s="54" t="s">
        <v>271</v>
      </c>
      <c r="AC16" s="119">
        <f>IFERROR(IF(AND(U15="Probabilidad",U16="Probabilidad"),(AE15-(+AE15*X16)),IF(U16="Probabilidad",(L15-(+L15*X16)),IF(U16="Impacto",AE15,""))),"")</f>
        <v>0.216</v>
      </c>
      <c r="AD16" s="61" t="str">
        <f t="shared" ref="AD16" si="11">IFERROR(IF(AC16="","",IF(AC16&lt;=0.2,"Muy Baja",IF(AC16&lt;=0.4,"Baja",IF(AC16&lt;=0.6,"Media",IF(AC16&lt;=0.8,"Alta","Muy Alta"))))),"")</f>
        <v>Baja</v>
      </c>
      <c r="AE16" s="60">
        <f t="shared" ref="AE16" si="12">+AC16</f>
        <v>0.216</v>
      </c>
      <c r="AF16" s="61" t="str">
        <f t="shared" ref="AF16" si="13">IFERROR(IF(AG16="","",IF(AG16&lt;=0.2,"Leve",IF(AG16&lt;=0.4,"Menor",IF(AG16&lt;=0.6,"Moderado",IF(AG16&lt;=0.8,"Mayor","Catastrófico"))))),"")</f>
        <v>Catastrófico</v>
      </c>
      <c r="AG16" s="60">
        <f>IFERROR(IF(AND(U15="Impacto",U16="Impacto"),(AG15-(+AG15*X16)),IF(U16="Impacto",($P$9-(+$P$9*X16)),IF(U16="Probabilidad",AG15,""))),"")</f>
        <v>1</v>
      </c>
      <c r="AH16" s="62" t="str">
        <f t="shared" ref="AH16" si="14">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Extremo</v>
      </c>
      <c r="AI16" s="213"/>
      <c r="AJ16" s="214"/>
      <c r="AK16" s="207"/>
      <c r="AL16" s="207"/>
      <c r="AM16" s="207"/>
      <c r="AN16" s="207"/>
      <c r="AO16" s="207"/>
      <c r="AP16" s="207"/>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row>
    <row r="17" spans="1:43" ht="124.5" customHeight="1" x14ac:dyDescent="0.2">
      <c r="A17" s="201"/>
      <c r="B17" s="137">
        <v>5</v>
      </c>
      <c r="C17" s="131" t="s">
        <v>101</v>
      </c>
      <c r="D17" s="131"/>
      <c r="E17" s="131" t="s">
        <v>272</v>
      </c>
      <c r="F17" s="128" t="s">
        <v>273</v>
      </c>
      <c r="G17" s="131" t="s">
        <v>92</v>
      </c>
      <c r="H17" s="131" t="s">
        <v>268</v>
      </c>
      <c r="I17" s="131" t="s">
        <v>357</v>
      </c>
      <c r="J17" s="132">
        <v>205</v>
      </c>
      <c r="K17" s="133" t="str">
        <f>IF(J17&lt;=0,"",IF(J17&lt;=2,"Muy Baja",IF(J17&lt;=24,"Baja",IF(J17&lt;=500,"Media",IF(J17&lt;=5000,"Alta","Muy Alta")))))</f>
        <v>Media</v>
      </c>
      <c r="L17" s="129">
        <f>'[3]Mapa final'!J13</f>
        <v>0.6</v>
      </c>
      <c r="M17" s="139" t="str">
        <f>'[3]Mapa final'!K13</f>
        <v>Catastrófico</v>
      </c>
      <c r="N17" s="146">
        <v>20</v>
      </c>
      <c r="O17" s="133" t="str">
        <f>'[3]Mapa final'!M13</f>
        <v>Catastrófico</v>
      </c>
      <c r="P17" s="133">
        <f>'[3]Mapa final'!N13</f>
        <v>20</v>
      </c>
      <c r="Q17" s="129">
        <f>'[3]Mapa final'!O13</f>
        <v>1</v>
      </c>
      <c r="R17" s="130" t="str">
        <f>'[3]Mapa final'!P13</f>
        <v>Extremo</v>
      </c>
      <c r="S17" s="134">
        <v>1</v>
      </c>
      <c r="T17" s="54" t="s">
        <v>274</v>
      </c>
      <c r="U17" s="118" t="str">
        <f t="shared" si="4"/>
        <v>Probabilidad</v>
      </c>
      <c r="V17" s="64" t="s">
        <v>13</v>
      </c>
      <c r="W17" s="64" t="s">
        <v>8</v>
      </c>
      <c r="X17" s="60" t="str">
        <f>IF(AND(V17="Preventivo",W17="Automático"),"50%",IF(AND(V17="Preventivo",W17="Manual"),"40%",IF(AND(V17="Detectivo",W17="Automático"),"40%",IF(AND(V17="Detectivo",W17="Manual"),"30%",IF(AND(V17="Correctivo",W17="Automático"),"35%",IF(AND(V17="Correctivo",W17="Manual"),"25%",""))))))</f>
        <v>40%</v>
      </c>
      <c r="Y17" s="64" t="s">
        <v>18</v>
      </c>
      <c r="Z17" s="64" t="s">
        <v>21</v>
      </c>
      <c r="AA17" s="64" t="s">
        <v>88</v>
      </c>
      <c r="AB17" s="54" t="s">
        <v>275</v>
      </c>
      <c r="AC17" s="119">
        <f>IFERROR(IF(U17="Probabilidad",(L17-(+L17*X17)),IF(U17="Impacto",L17,"")),"")</f>
        <v>0.36</v>
      </c>
      <c r="AD17" s="61" t="str">
        <f>IFERROR(IF(AC17="","",IF(AC17&lt;=0.2,"Muy Baja",IF(AC17&lt;=0.4,"Baja",IF(AC17&lt;=0.6,"Media",IF(AC17&lt;=0.8,"Alta","Muy Alta"))))),"")</f>
        <v>Baja</v>
      </c>
      <c r="AE17" s="60">
        <f>+AC17</f>
        <v>0.36</v>
      </c>
      <c r="AF17" s="61" t="str">
        <f>IFERROR(IF(AG17="","",IF(AG17&lt;=0.2,"Leve",IF(AG17&lt;=0.4,"Menor",IF(AG17&lt;=0.6,"Moderado",IF(AG17&lt;=0.8,"Mayor","Catastrófico"))))),"")</f>
        <v>Catastrófico</v>
      </c>
      <c r="AG17" s="60">
        <f>IFERROR(IF(U17="Impacto",(Q17-(+Q17*X17)),IF(U17="Probabilidad",Q17,"")),"")</f>
        <v>1</v>
      </c>
      <c r="AH17" s="62" t="str">
        <f>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Extremo</v>
      </c>
      <c r="AI17" s="62" t="str">
        <f>$AH$17</f>
        <v>Extremo</v>
      </c>
      <c r="AJ17" s="64" t="s">
        <v>31</v>
      </c>
      <c r="AK17" s="131" t="s">
        <v>253</v>
      </c>
      <c r="AL17" s="131" t="s">
        <v>253</v>
      </c>
      <c r="AM17" s="131" t="s">
        <v>253</v>
      </c>
      <c r="AN17" s="131" t="s">
        <v>253</v>
      </c>
      <c r="AO17" s="131" t="s">
        <v>253</v>
      </c>
      <c r="AP17" s="131" t="s">
        <v>253</v>
      </c>
    </row>
    <row r="18" spans="1:43" ht="141.75" customHeight="1" x14ac:dyDescent="0.2">
      <c r="A18" s="108" t="s">
        <v>276</v>
      </c>
      <c r="B18" s="152">
        <v>6</v>
      </c>
      <c r="C18" s="131" t="str">
        <f>'[4]Mapa final'!B10</f>
        <v>Económico y Reputacional</v>
      </c>
      <c r="D18" s="131">
        <f>'[4]Mapa final'!C10</f>
        <v>0</v>
      </c>
      <c r="E18" s="131" t="str">
        <f>'[4]Mapa final'!D10</f>
        <v>Interes en favorecer a algún proveedor con el fin de obtener beneficio a nombre propio.</v>
      </c>
      <c r="F18" s="128" t="str">
        <f>'[4]Mapa final'!E10</f>
        <v>Posibilidad de Sanciones de los Entes de inspección vigilancia y control por la Exclusion del giro a proveedores y contratistas para presionar y obtener algun beneficio personal.</v>
      </c>
      <c r="G18" s="131" t="str">
        <f>'[4]Mapa final'!F10</f>
        <v>Usuarios, productos y practicas , organizacionales</v>
      </c>
      <c r="H18" s="131" t="str">
        <f>'[4]Mapa final'!G10</f>
        <v>Tesorería</v>
      </c>
      <c r="I18" s="131" t="s">
        <v>357</v>
      </c>
      <c r="J18" s="132">
        <f>'[4]Mapa final'!H10</f>
        <v>10950</v>
      </c>
      <c r="K18" s="133" t="str">
        <f>'[4]Mapa final'!I10</f>
        <v>Muy Alta</v>
      </c>
      <c r="L18" s="129">
        <f>'[4]Mapa final'!J10</f>
        <v>1</v>
      </c>
      <c r="M18" s="139" t="str">
        <f>'[4]Mapa final'!K10</f>
        <v>Catastrófico</v>
      </c>
      <c r="N18" s="133">
        <f>'[4]Mapa final'!L10</f>
        <v>20</v>
      </c>
      <c r="O18" s="133" t="str">
        <f>'[4]Mapa final'!M10</f>
        <v>Catastrófico</v>
      </c>
      <c r="P18" s="133">
        <f>'[4]Mapa final'!N10</f>
        <v>20</v>
      </c>
      <c r="Q18" s="129">
        <f>'[4]Mapa final'!O10</f>
        <v>1</v>
      </c>
      <c r="R18" s="130" t="str">
        <f>'[4]Mapa final'!P10</f>
        <v>Extremo</v>
      </c>
      <c r="S18" s="134">
        <f>'[4]Mapa final'!Q10</f>
        <v>1</v>
      </c>
      <c r="T18" s="54" t="str">
        <f>'[4]Mapa final'!R10</f>
        <v xml:space="preserve">El tesorero mensualmente aplica lo establecido en el Procedimiento AF-PR-36 liquidación y Giro de Cuentas a fin de realizar la priorización de pagos, conforme a la llegada de las facturas y a los plazos de pago.
Resolución 048 de 2021 </v>
      </c>
      <c r="U18" s="118" t="str">
        <f>'[4]Mapa final'!S10</f>
        <v>Probabilidad</v>
      </c>
      <c r="V18" s="64" t="str">
        <f>'[4]Mapa final'!T10</f>
        <v>Preventivo</v>
      </c>
      <c r="W18" s="64" t="str">
        <f>'[4]Mapa final'!U10</f>
        <v>Manual</v>
      </c>
      <c r="X18" s="60" t="str">
        <f>'[4]Mapa final'!V10</f>
        <v>40%</v>
      </c>
      <c r="Y18" s="64" t="str">
        <f>'[4]Mapa final'!W10</f>
        <v>Documentado</v>
      </c>
      <c r="Z18" s="64" t="str">
        <f>'[4]Mapa final'!X10</f>
        <v>Continua</v>
      </c>
      <c r="AA18" s="64" t="str">
        <f>'[4]Mapa final'!Y10</f>
        <v>Con Registro</v>
      </c>
      <c r="AB18" s="54" t="str">
        <f>'[4]Mapa final'!Z10</f>
        <v>Informe segumiento plan financiero de cuentas por pagar.</v>
      </c>
      <c r="AC18" s="119">
        <f>'[4]Mapa final'!AA10</f>
        <v>0.6</v>
      </c>
      <c r="AD18" s="61" t="str">
        <f>'[4]Mapa final'!AB10</f>
        <v>Media</v>
      </c>
      <c r="AE18" s="60">
        <f>'[4]Mapa final'!AC10</f>
        <v>0.6</v>
      </c>
      <c r="AF18" s="61" t="str">
        <f>'[4]Mapa final'!AD10</f>
        <v>Catastrófico</v>
      </c>
      <c r="AG18" s="60">
        <f>'[4]Mapa final'!AE10</f>
        <v>1</v>
      </c>
      <c r="AH18" s="127" t="str">
        <f>'[4]Mapa final'!AF10</f>
        <v>Extremo</v>
      </c>
      <c r="AI18" s="127" t="str">
        <f>$AH$17</f>
        <v>Extremo</v>
      </c>
      <c r="AJ18" s="64" t="str">
        <f>'[4]Mapa final'!AG10</f>
        <v>Reducir (mitigar)</v>
      </c>
      <c r="AK18" s="131" t="str">
        <f>'[4]Mapa final'!AH10</f>
        <v>Realizar seguimiento a la antigüedad de cuentas por pagar según lo definido en Procedimiento AF-PR-36 Liquidación y giro de cuentas</v>
      </c>
      <c r="AL18" s="131" t="str">
        <f>'[4]Mapa final'!AI10</f>
        <v>Tesoreria</v>
      </c>
      <c r="AM18" s="147" t="str">
        <f>'[4]Mapa final'!AJ10</f>
        <v>Enero a Diciembre de 2023</v>
      </c>
      <c r="AN18" s="63" t="str">
        <f>'[4]Mapa final'!AK10</f>
        <v>Cuatrimestral</v>
      </c>
      <c r="AO18" s="131" t="str">
        <f>'[4]Mapa final'!AL10</f>
        <v xml:space="preserve"> Informe segumiento de cuentas por pagar.</v>
      </c>
      <c r="AP18" s="132" t="str">
        <f>'[4]Mapa final'!AM10</f>
        <v>En curso</v>
      </c>
    </row>
    <row r="19" spans="1:43" ht="150" customHeight="1" x14ac:dyDescent="0.2">
      <c r="A19" s="207" t="s">
        <v>292</v>
      </c>
      <c r="B19" s="152">
        <v>7</v>
      </c>
      <c r="C19" s="131" t="s">
        <v>100</v>
      </c>
      <c r="D19" s="138"/>
      <c r="E19" s="131" t="s">
        <v>277</v>
      </c>
      <c r="F19" s="128" t="s">
        <v>278</v>
      </c>
      <c r="G19" s="131" t="s">
        <v>92</v>
      </c>
      <c r="H19" s="131" t="s">
        <v>279</v>
      </c>
      <c r="I19" s="131" t="s">
        <v>357</v>
      </c>
      <c r="J19" s="132">
        <v>501</v>
      </c>
      <c r="K19" s="133" t="str">
        <f>IF(J19&lt;=0,"",IF(J19&lt;=2,"Muy Baja",IF(J19&lt;=24,"Baja",IF(J19&lt;=500,"Media",IF(J19&lt;=5000,"Alta","Muy Alta")))))</f>
        <v>Alta</v>
      </c>
      <c r="L19" s="129">
        <f>'[5]Mapa final'!J10</f>
        <v>0.8</v>
      </c>
      <c r="M19" s="139" t="str">
        <f>'[5]Mapa final'!K10</f>
        <v>Catastrófico</v>
      </c>
      <c r="N19" s="133">
        <f>'[5]Mapa final'!L10</f>
        <v>20</v>
      </c>
      <c r="O19" s="140" t="str">
        <f>'[5]Mapa final'!M10</f>
        <v>Catastrófico</v>
      </c>
      <c r="P19" s="133">
        <f>'[5]Mapa final'!N10</f>
        <v>20</v>
      </c>
      <c r="Q19" s="129">
        <f>'[5]Mapa final'!O10</f>
        <v>1</v>
      </c>
      <c r="R19" s="142" t="str">
        <f>'[5]Mapa final'!P10</f>
        <v>Extremo</v>
      </c>
      <c r="S19" s="129">
        <f>IF(Q19="","",IF(Q19="Moderado",0.6,IF(Q19="Mayor",0.8,IF(Q19="Catastrófico",1,))))</f>
        <v>0</v>
      </c>
      <c r="T19" s="125" t="s">
        <v>280</v>
      </c>
      <c r="U19" s="118" t="str">
        <f t="shared" ref="U19:U20" si="15">IF(OR(V19="Preventivo",V19="Detectivo"),"Probabilidad",IF(V19="Correctivo","Impacto",""))</f>
        <v>Probabilidad</v>
      </c>
      <c r="V19" s="64" t="s">
        <v>14</v>
      </c>
      <c r="W19" s="64" t="s">
        <v>8</v>
      </c>
      <c r="X19" s="60" t="str">
        <f>IF(AND(V19="Preventivo",W19="Automático"),"50%",IF(AND(V19="Preventivo",W19="Manual"),"40%",IF(AND(V19="Detectivo",W19="Automático"),"40%",IF(AND(V19="Detectivo",W19="Manual"),"30%",IF(AND(V19="Correctivo",W19="Automático"),"35%",IF(AND(V19="Correctivo",W19="Manual"),"25%",""))))))</f>
        <v>30%</v>
      </c>
      <c r="Y19" s="64" t="s">
        <v>18</v>
      </c>
      <c r="Z19" s="64" t="s">
        <v>21</v>
      </c>
      <c r="AA19" s="64" t="s">
        <v>88</v>
      </c>
      <c r="AB19" s="54" t="s">
        <v>281</v>
      </c>
      <c r="AC19" s="119">
        <f>IFERROR(IF(U19="Probabilidad",(L19-(+L19*X19)),IF(U19="Impacto",L19,"")),"")</f>
        <v>0.56000000000000005</v>
      </c>
      <c r="AD19" s="61" t="str">
        <f>IFERROR(IF(AC19="","",IF(AC19&lt;=0.2,"Muy Baja",IF(AC19&lt;=0.4,"Baja",IF(AC19&lt;=0.6,"Media",IF(AC19&lt;=0.8,"Alta","Muy Alta"))))),"")</f>
        <v>Media</v>
      </c>
      <c r="AE19" s="60">
        <f>+AC19</f>
        <v>0.56000000000000005</v>
      </c>
      <c r="AF19" s="61" t="str">
        <f>IFERROR(IF(AG19="","",IF(AG19&lt;=0.2,"Leve",IF(AG19&lt;=0.4,"Menor",IF(AG19&lt;=0.6,"Moderado",IF(AG19&lt;=0.8,"Mayor","Catastrófico"))))),"")</f>
        <v>Catastrófico</v>
      </c>
      <c r="AG19" s="60">
        <f>IFERROR(IF(U19="Impacto",(Q19-(+Q19*X19)),IF(U19="Probabilidad",Q19,"")),"")</f>
        <v>1</v>
      </c>
      <c r="AH19" s="62" t="str">
        <f>IFERROR(IF(OR(AND(AD19="Muy Baja",AF19="Leve"),AND(AD19="Muy Baja",AF19="Menor"),AND(AD19="Baja",AF19="Leve")),"Bajo",IF(OR(AND(AD19="Muy baja",AF19="Moderado"),AND(AD19="Baja",AF19="Menor"),AND(AD19="Baja",AF19="Moderado"),AND(AD19="Media",AF19="Leve"),AND(AD19="Media",AF19="Menor"),AND(AD19="Media",AF19="Moderado"),AND(AD19="Alta",AF19="Leve"),AND(AD19="Alta",AF19="Menor")),"Moderado",IF(OR(AND(AD19="Muy Baja",AF19="Mayor"),AND(AD19="Baja",AF19="Mayor"),AND(AD19="Media",AF19="Mayor"),AND(AD19="Alta",AF19="Moderado"),AND(AD19="Alta",AF19="Mayor"),AND(AD19="Muy Alta",AF19="Leve"),AND(AD19="Muy Alta",AF19="Menor"),AND(AD19="Muy Alta",AF19="Moderado"),AND(AD19="Muy Alta",AF19="Mayor")),"Alto",IF(OR(AND(AD19="Muy Baja",AF19="Catastrófico"),AND(AD19="Baja",AF19="Catastrófico"),AND(AD19="Media",AF19="Catastrófico"),AND(AD19="Alta",AF19="Catastrófico"),AND(AD19="Muy Alta",AF19="Catastrófico")),"Extremo","")))),"")</f>
        <v>Extremo</v>
      </c>
      <c r="AI19" s="62" t="str">
        <f>$AH$19</f>
        <v>Extremo</v>
      </c>
      <c r="AJ19" s="64" t="s">
        <v>31</v>
      </c>
      <c r="AK19" s="131" t="s">
        <v>253</v>
      </c>
      <c r="AL19" s="131" t="s">
        <v>253</v>
      </c>
      <c r="AM19" s="131" t="s">
        <v>253</v>
      </c>
      <c r="AN19" s="131" t="s">
        <v>253</v>
      </c>
      <c r="AO19" s="131" t="s">
        <v>253</v>
      </c>
      <c r="AP19" s="131" t="s">
        <v>253</v>
      </c>
      <c r="AQ19" s="117"/>
    </row>
    <row r="20" spans="1:43" ht="140.25" x14ac:dyDescent="0.2">
      <c r="A20" s="207"/>
      <c r="B20" s="137">
        <v>8</v>
      </c>
      <c r="C20" s="131" t="s">
        <v>100</v>
      </c>
      <c r="D20" s="131"/>
      <c r="E20" s="131" t="s">
        <v>282</v>
      </c>
      <c r="F20" s="128" t="s">
        <v>283</v>
      </c>
      <c r="G20" s="131" t="s">
        <v>92</v>
      </c>
      <c r="H20" s="131" t="s">
        <v>284</v>
      </c>
      <c r="I20" s="131" t="s">
        <v>357</v>
      </c>
      <c r="J20" s="132">
        <f>365*43</f>
        <v>15695</v>
      </c>
      <c r="K20" s="133" t="str">
        <f>IF(J20&lt;=0,"",IF(J20&lt;=2,"Muy Baja",IF(J20&lt;=24,"Baja",IF(J20&lt;=500,"Media",IF(J20&lt;=5000,"Alta","Muy Alta")))))</f>
        <v>Muy Alta</v>
      </c>
      <c r="L20" s="129">
        <f>'[5]Mapa final'!J13</f>
        <v>1</v>
      </c>
      <c r="M20" s="139" t="str">
        <f>'[5]Mapa final'!K13</f>
        <v>Catastrófico</v>
      </c>
      <c r="N20" s="141">
        <v>20</v>
      </c>
      <c r="O20" s="140" t="str">
        <f>'[5]Mapa final'!M13</f>
        <v>Catastrófico</v>
      </c>
      <c r="P20" s="141">
        <v>20</v>
      </c>
      <c r="Q20" s="129">
        <f>'[5]Mapa final'!O13</f>
        <v>1</v>
      </c>
      <c r="R20" s="142" t="str">
        <f>'[5]Mapa final'!P13</f>
        <v>Extremo</v>
      </c>
      <c r="S20" s="134">
        <v>1</v>
      </c>
      <c r="T20" s="54" t="s">
        <v>285</v>
      </c>
      <c r="U20" s="118" t="str">
        <f t="shared" si="15"/>
        <v>Probabilidad</v>
      </c>
      <c r="V20" s="64" t="s">
        <v>13</v>
      </c>
      <c r="W20" s="64" t="s">
        <v>8</v>
      </c>
      <c r="X20" s="60" t="str">
        <f t="shared" ref="X20" si="16">IF(AND(V20="Preventivo",W20="Automático"),"50%",IF(AND(V20="Preventivo",W20="Manual"),"40%",IF(AND(V20="Detectivo",W20="Automático"),"40%",IF(AND(V20="Detectivo",W20="Manual"),"30%",IF(AND(V20="Correctivo",W20="Automático"),"35%",IF(AND(V20="Correctivo",W20="Manual"),"25%",""))))))</f>
        <v>40%</v>
      </c>
      <c r="Y20" s="64" t="s">
        <v>19</v>
      </c>
      <c r="Z20" s="64" t="s">
        <v>21</v>
      </c>
      <c r="AA20" s="64" t="s">
        <v>88</v>
      </c>
      <c r="AB20" s="54" t="s">
        <v>286</v>
      </c>
      <c r="AC20" s="119">
        <f>IFERROR(IF(U20="Probabilidad",(L20-(+L20*X20)),IF(U20="Impacto",L20,"")),"")</f>
        <v>0.6</v>
      </c>
      <c r="AD20" s="61" t="str">
        <f>IFERROR(IF(AC20="","",IF(AC20&lt;=0.2,"Muy Baja",IF(AC20&lt;=0.4,"Baja",IF(AC20&lt;=0.6,"Media",IF(AC20&lt;=0.8,"Alta","Muy Alta"))))),"")</f>
        <v>Media</v>
      </c>
      <c r="AE20" s="60">
        <f>+AC20</f>
        <v>0.6</v>
      </c>
      <c r="AF20" s="61" t="str">
        <f>IFERROR(IF(AG20="","",IF(AG20&lt;=0.2,"Leve",IF(AG20&lt;=0.4,"Menor",IF(AG20&lt;=0.6,"Moderado",IF(AG20&lt;=0.8,"Mayor","Catastrófico"))))),"")</f>
        <v>Catastrófico</v>
      </c>
      <c r="AG20" s="60">
        <f>IFERROR(IF(U20="Impacto",(Q20-(+Q20*X20)),IF(U20="Probabilidad",Q20,"")),"")</f>
        <v>1</v>
      </c>
      <c r="AH20" s="62" t="str">
        <f>IFERROR(IF(OR(AND(AD20="Muy Baja",AF20="Leve"),AND(AD20="Muy Baja",AF20="Menor"),AND(AD20="Baja",AF20="Leve")),"Bajo",IF(OR(AND(AD20="Muy baja",AF20="Moderado"),AND(AD20="Baja",AF20="Menor"),AND(AD20="Baja",AF20="Moderado"),AND(AD20="Media",AF20="Leve"),AND(AD20="Media",AF20="Menor"),AND(AD20="Media",AF20="Moderado"),AND(AD20="Alta",AF20="Leve"),AND(AD20="Alta",AF20="Menor")),"Moderado",IF(OR(AND(AD20="Muy Baja",AF20="Mayor"),AND(AD20="Baja",AF20="Mayor"),AND(AD20="Media",AF20="Mayor"),AND(AD20="Alta",AF20="Moderado"),AND(AD20="Alta",AF20="Mayor"),AND(AD20="Muy Alta",AF20="Leve"),AND(AD20="Muy Alta",AF20="Menor"),AND(AD20="Muy Alta",AF20="Moderado"),AND(AD20="Muy Alta",AF20="Mayor")),"Alto",IF(OR(AND(AD20="Muy Baja",AF20="Catastrófico"),AND(AD20="Baja",AF20="Catastrófico"),AND(AD20="Media",AF20="Catastrófico"),AND(AD20="Alta",AF20="Catastrófico"),AND(AD20="Muy Alta",AF20="Catastrófico")),"Extremo","")))),"")</f>
        <v>Extremo</v>
      </c>
      <c r="AI20" s="62" t="str">
        <f>$AH$20</f>
        <v>Extremo</v>
      </c>
      <c r="AJ20" s="64" t="s">
        <v>31</v>
      </c>
      <c r="AK20" s="131" t="s">
        <v>253</v>
      </c>
      <c r="AL20" s="131" t="s">
        <v>253</v>
      </c>
      <c r="AM20" s="131" t="s">
        <v>253</v>
      </c>
      <c r="AN20" s="131" t="s">
        <v>253</v>
      </c>
      <c r="AO20" s="131" t="s">
        <v>253</v>
      </c>
      <c r="AP20" s="131" t="s">
        <v>253</v>
      </c>
    </row>
    <row r="21" spans="1:43" ht="134.25" customHeight="1" x14ac:dyDescent="0.2">
      <c r="A21" s="207"/>
      <c r="B21" s="152">
        <v>9</v>
      </c>
      <c r="C21" s="131" t="s">
        <v>100</v>
      </c>
      <c r="D21" s="131"/>
      <c r="E21" s="131" t="s">
        <v>289</v>
      </c>
      <c r="F21" s="128" t="s">
        <v>290</v>
      </c>
      <c r="G21" s="131" t="s">
        <v>92</v>
      </c>
      <c r="H21" s="131" t="s">
        <v>291</v>
      </c>
      <c r="I21" s="131" t="s">
        <v>357</v>
      </c>
      <c r="J21" s="132">
        <v>365</v>
      </c>
      <c r="K21" s="133" t="str">
        <f>IF(J21&lt;=0,"",IF(J21&lt;=2,"Muy Baja",IF(J21&lt;=24,"Baja",IF(J21&lt;=500,"Media",IF(J21&lt;=5000,"Alta","Muy Alta")))))</f>
        <v>Media</v>
      </c>
      <c r="L21" s="129">
        <f>'[5]Mapa final'!J16</f>
        <v>0.6</v>
      </c>
      <c r="M21" s="139" t="str">
        <f>'[5]Mapa final'!K16</f>
        <v>Mayor</v>
      </c>
      <c r="N21" s="141">
        <v>10</v>
      </c>
      <c r="O21" s="140" t="str">
        <f>'[5]Mapa final'!M16</f>
        <v>Mayor</v>
      </c>
      <c r="P21" s="141">
        <v>10</v>
      </c>
      <c r="Q21" s="129">
        <f>'[5]Mapa final'!O16</f>
        <v>0.8</v>
      </c>
      <c r="R21" s="142" t="str">
        <f>'[5]Mapa final'!P16</f>
        <v>Alto</v>
      </c>
      <c r="S21" s="134">
        <v>1</v>
      </c>
      <c r="T21" s="54" t="s">
        <v>287</v>
      </c>
      <c r="U21" s="118" t="str">
        <f t="shared" ref="U21" si="17">IF(OR(V21="Preventivo",V21="Detectivo"),"Probabilidad",IF(V21="Correctivo","Impacto",""))</f>
        <v>Probabilidad</v>
      </c>
      <c r="V21" s="64" t="s">
        <v>13</v>
      </c>
      <c r="W21" s="64" t="s">
        <v>8</v>
      </c>
      <c r="X21" s="60" t="str">
        <f>IF(AND(V21="Preventivo",W21="Automático"),"50%",IF(AND(V21="Preventivo",W21="Manual"),"40%",IF(AND(V21="Detectivo",W21="Automático"),"40%",IF(AND(V21="Detectivo",W21="Manual"),"30%",IF(AND(V21="Correctivo",W21="Automático"),"35%",IF(AND(V21="Correctivo",W21="Manual"),"25%",""))))))</f>
        <v>40%</v>
      </c>
      <c r="Y21" s="64" t="s">
        <v>18</v>
      </c>
      <c r="Z21" s="64" t="s">
        <v>21</v>
      </c>
      <c r="AA21" s="64" t="s">
        <v>88</v>
      </c>
      <c r="AB21" s="54" t="s">
        <v>288</v>
      </c>
      <c r="AC21" s="119">
        <f>IFERROR(IF(U21="Probabilidad",(L21-(+L21*X21)),IF(U21="Impacto",L21,"")),"")</f>
        <v>0.36</v>
      </c>
      <c r="AD21" s="61" t="str">
        <f>IFERROR(IF(AC21="","",IF(AC21&lt;=0.2,"Muy Baja",IF(AC21&lt;=0.4,"Baja",IF(AC21&lt;=0.6,"Media",IF(AC21&lt;=0.8,"Alta","Muy Alta"))))),"")</f>
        <v>Baja</v>
      </c>
      <c r="AE21" s="60">
        <f>+AC21</f>
        <v>0.36</v>
      </c>
      <c r="AF21" s="61" t="str">
        <f>IFERROR(IF(AG21="","",IF(AG21&lt;=0.2,"Leve",IF(AG21&lt;=0.4,"Menor",IF(AG21&lt;=0.6,"Moderado",IF(AG21&lt;=0.8,"Mayor","Catastrófico"))))),"")</f>
        <v>Mayor</v>
      </c>
      <c r="AG21" s="60">
        <f>IFERROR(IF(U21="Impacto",(Q21-(+Q21*X21)),IF(U21="Probabilidad",Q21,"")),"")</f>
        <v>0.8</v>
      </c>
      <c r="AH21" s="62" t="str">
        <f>IFERROR(IF(OR(AND(AD21="Muy Baja",AF21="Leve"),AND(AD21="Muy Baja",AF21="Menor"),AND(AD21="Baja",AF21="Leve")),"Bajo",IF(OR(AND(AD21="Muy baja",AF21="Moderado"),AND(AD21="Baja",AF21="Menor"),AND(AD21="Baja",AF21="Moderado"),AND(AD21="Media",AF21="Leve"),AND(AD21="Media",AF21="Menor"),AND(AD21="Media",AF21="Moderado"),AND(AD21="Alta",AF21="Leve"),AND(AD21="Alta",AF21="Menor")),"Moderado",IF(OR(AND(AD21="Muy Baja",AF21="Mayor"),AND(AD21="Baja",AF21="Mayor"),AND(AD21="Media",AF21="Mayor"),AND(AD21="Alta",AF21="Moderado"),AND(AD21="Alta",AF21="Mayor"),AND(AD21="Muy Alta",AF21="Leve"),AND(AD21="Muy Alta",AF21="Menor"),AND(AD21="Muy Alta",AF21="Moderado"),AND(AD21="Muy Alta",AF21="Mayor")),"Alto",IF(OR(AND(AD21="Muy Baja",AF21="Catastrófico"),AND(AD21="Baja",AF21="Catastrófico"),AND(AD21="Media",AF21="Catastrófico"),AND(AD21="Alta",AF21="Catastrófico"),AND(AD21="Muy Alta",AF21="Catastrófico")),"Extremo","")))),"")</f>
        <v>Alto</v>
      </c>
      <c r="AI21" s="62" t="str">
        <f>$AH$21</f>
        <v>Alto</v>
      </c>
      <c r="AJ21" s="64" t="s">
        <v>31</v>
      </c>
      <c r="AK21" s="131" t="s">
        <v>253</v>
      </c>
      <c r="AL21" s="131" t="s">
        <v>253</v>
      </c>
      <c r="AM21" s="131" t="s">
        <v>253</v>
      </c>
      <c r="AN21" s="131" t="s">
        <v>253</v>
      </c>
      <c r="AO21" s="131" t="s">
        <v>253</v>
      </c>
      <c r="AP21" s="131" t="s">
        <v>253</v>
      </c>
    </row>
    <row r="22" spans="1:43" ht="153" x14ac:dyDescent="0.2">
      <c r="A22" s="201" t="s">
        <v>293</v>
      </c>
      <c r="B22" s="413">
        <v>10</v>
      </c>
      <c r="C22" s="207" t="str">
        <f>'[6]Mapa final'!B10</f>
        <v>Reputacional</v>
      </c>
      <c r="D22" s="207">
        <f>'[6]Mapa final'!C10</f>
        <v>0</v>
      </c>
      <c r="E22" s="207" t="str">
        <f>'[6]Mapa final'!D10</f>
        <v>* Falta de compromiso e identidad del personal que labora en archivo central y de gestión, frente  a  la responsabilidad del manejo de la información.</v>
      </c>
      <c r="F22" s="208" t="str">
        <f>'[6]Mapa final'!E10</f>
        <v xml:space="preserve"> Posibilidad de  Investigaciones y sanciones disciplinarias y punitivas por Utilización indebida y sustracción de la información física  por parte del personal de la entidad.</v>
      </c>
      <c r="G22" s="207" t="str">
        <f>'[6]Mapa final'!F10</f>
        <v>Usuarios, productos y practicas , organizacionales</v>
      </c>
      <c r="H22" s="207" t="str">
        <f>'[6]Mapa final'!G10</f>
        <v>Gestión Documental</v>
      </c>
      <c r="I22" s="204" t="s">
        <v>357</v>
      </c>
      <c r="J22" s="200">
        <f>'[6]Mapa final'!H10</f>
        <v>365</v>
      </c>
      <c r="K22" s="209" t="str">
        <f>'[6]Mapa final'!I10</f>
        <v>Media</v>
      </c>
      <c r="L22" s="210">
        <f>'[6]Mapa final'!J10</f>
        <v>0.6</v>
      </c>
      <c r="M22" s="211" t="str">
        <f>'[6]Mapa final'!K10</f>
        <v>Catastrófico</v>
      </c>
      <c r="N22" s="209">
        <f>'[6]Mapa final'!L10</f>
        <v>20</v>
      </c>
      <c r="O22" s="209" t="str">
        <f>'[6]Mapa final'!M10</f>
        <v>Catastrófico</v>
      </c>
      <c r="P22" s="209">
        <f>'[6]Mapa final'!N10</f>
        <v>20</v>
      </c>
      <c r="Q22" s="210">
        <f>'[6]Mapa final'!O10</f>
        <v>1</v>
      </c>
      <c r="R22" s="212" t="str">
        <f>'[6]Mapa final'!P10</f>
        <v>Extremo</v>
      </c>
      <c r="S22" s="134">
        <f>'[6]Mapa final'!Q10</f>
        <v>1</v>
      </c>
      <c r="T22" s="54" t="str">
        <f>'[6]Mapa final'!R10</f>
        <v>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Préstamo de Documentos en archivos de gestión</v>
      </c>
      <c r="U22" s="118" t="str">
        <f>'[6]Mapa final'!S10</f>
        <v>Probabilidad</v>
      </c>
      <c r="V22" s="64" t="str">
        <f>'[6]Mapa final'!T10</f>
        <v>Preventivo</v>
      </c>
      <c r="W22" s="64" t="str">
        <f>'[6]Mapa final'!U10</f>
        <v>Manual</v>
      </c>
      <c r="X22" s="60" t="str">
        <f>'[6]Mapa final'!V10</f>
        <v>40%</v>
      </c>
      <c r="Y22" s="64" t="str">
        <f>'[6]Mapa final'!W10</f>
        <v>Documentado</v>
      </c>
      <c r="Z22" s="64" t="str">
        <f>'[6]Mapa final'!X10</f>
        <v>Continua</v>
      </c>
      <c r="AA22" s="64" t="str">
        <f>'[6]Mapa final'!Y10</f>
        <v>Con Registro</v>
      </c>
      <c r="AB22" s="54" t="str">
        <f>'[6]Mapa final'!Z10</f>
        <v>Diligenciamiento del formato GD- F-01 de control consulta y préstamos de documentos de archivo
Informe mensual del lider del proceso de gestion documental.
Formato  Prestamo Documentos Archivo de Gestión GD-F-20</v>
      </c>
      <c r="AC22" s="119">
        <f>'[6]Mapa final'!AA10</f>
        <v>0.36</v>
      </c>
      <c r="AD22" s="61" t="str">
        <f>'[6]Mapa final'!AB10</f>
        <v>Baja</v>
      </c>
      <c r="AE22" s="60">
        <f>'[6]Mapa final'!AC10</f>
        <v>0.36</v>
      </c>
      <c r="AF22" s="61" t="str">
        <f>'[6]Mapa final'!AD10</f>
        <v>Catastrófico</v>
      </c>
      <c r="AG22" s="60">
        <f>'[6]Mapa final'!AE10</f>
        <v>1</v>
      </c>
      <c r="AH22" s="62" t="str">
        <f>'[6]Mapa final'!AF10</f>
        <v>Extremo</v>
      </c>
      <c r="AI22" s="213" t="str">
        <f>'[6]Mapa final'!AG10</f>
        <v>Extremo</v>
      </c>
      <c r="AJ22" s="214" t="str">
        <f>'[6]Mapa final'!AH10</f>
        <v>Reducir (mitigar)</v>
      </c>
      <c r="AK22" s="207" t="str">
        <f>'[6]Mapa final'!AI10</f>
        <v>Verificar que se cumplan los tiempos estipulados para el prestamo de documentos</v>
      </c>
      <c r="AL22" s="207" t="str">
        <f>'[6]Mapa final'!AJ10</f>
        <v>Coordinador de Gestión Documental y Líder de Archivo de Historia Clínica</v>
      </c>
      <c r="AM22" s="215" t="str">
        <f>'[6]Mapa final'!AK10</f>
        <v>Enero a Diciembre de 2023</v>
      </c>
      <c r="AN22" s="216" t="str">
        <f>'[6]Mapa final'!AL10</f>
        <v>Cuatrimestral</v>
      </c>
      <c r="AO22" s="207" t="str">
        <f>'[6]Mapa final'!AM10</f>
        <v>Formato  Prestamo Documentos Archivo de Gestión GD-F-20
AHC-F-06 Registro Relación solicitud y entrega de copias de Historia Clínica</v>
      </c>
      <c r="AP22" s="200" t="str">
        <f>'[6]Mapa final'!AN10</f>
        <v>En curso</v>
      </c>
    </row>
    <row r="23" spans="1:43" ht="65.25" x14ac:dyDescent="0.2">
      <c r="A23" s="201"/>
      <c r="B23" s="417"/>
      <c r="C23" s="207"/>
      <c r="D23" s="207"/>
      <c r="E23" s="207"/>
      <c r="F23" s="208"/>
      <c r="G23" s="207"/>
      <c r="H23" s="207"/>
      <c r="I23" s="205"/>
      <c r="J23" s="200"/>
      <c r="K23" s="209"/>
      <c r="L23" s="210"/>
      <c r="M23" s="211"/>
      <c r="N23" s="209"/>
      <c r="O23" s="209"/>
      <c r="P23" s="209"/>
      <c r="Q23" s="210"/>
      <c r="R23" s="212"/>
      <c r="S23" s="134">
        <f>'[6]Mapa final'!Q11</f>
        <v>2</v>
      </c>
      <c r="T23" s="54" t="str">
        <f>'[6]Mapa final'!R11</f>
        <v>El personal de HC verifica la solicitud y ejecuta los pasos a seguir para el préstamo y consulta de historias clíncias mediante el procedimiento AHC-PR-04.</v>
      </c>
      <c r="U23" s="118" t="str">
        <f>'[6]Mapa final'!S11</f>
        <v>Probabilidad</v>
      </c>
      <c r="V23" s="64" t="str">
        <f>'[6]Mapa final'!T11</f>
        <v>Preventivo</v>
      </c>
      <c r="W23" s="64" t="str">
        <f>'[6]Mapa final'!U11</f>
        <v>Manual</v>
      </c>
      <c r="X23" s="60" t="str">
        <f>'[6]Mapa final'!V11</f>
        <v>40%</v>
      </c>
      <c r="Y23" s="64" t="str">
        <f>'[6]Mapa final'!W11</f>
        <v>Documentado</v>
      </c>
      <c r="Z23" s="64" t="str">
        <f>'[6]Mapa final'!X11</f>
        <v>continua</v>
      </c>
      <c r="AA23" s="64" t="str">
        <f>'[6]Mapa final'!Y11</f>
        <v>Con Registro</v>
      </c>
      <c r="AB23" s="54" t="str">
        <f>'[6]Mapa final'!Z11</f>
        <v xml:space="preserve">Diligenciamiento de formato AHC-F-06 Registro Relación solicitud y entrega de copias de Historia Clínica
</v>
      </c>
      <c r="AC23" s="119">
        <f>'[6]Mapa final'!AA11</f>
        <v>0.216</v>
      </c>
      <c r="AD23" s="61" t="str">
        <f>'[6]Mapa final'!AB11</f>
        <v>Baja</v>
      </c>
      <c r="AE23" s="60">
        <f>'[6]Mapa final'!AC11</f>
        <v>0.216</v>
      </c>
      <c r="AF23" s="61" t="str">
        <f>'[6]Mapa final'!AD11</f>
        <v>Catastrófico</v>
      </c>
      <c r="AG23" s="60">
        <f>'[6]Mapa final'!AE11</f>
        <v>1</v>
      </c>
      <c r="AH23" s="62" t="str">
        <f>'[6]Mapa final'!AF11</f>
        <v>Extremo</v>
      </c>
      <c r="AI23" s="213"/>
      <c r="AJ23" s="214"/>
      <c r="AK23" s="207"/>
      <c r="AL23" s="207"/>
      <c r="AM23" s="215"/>
      <c r="AN23" s="216"/>
      <c r="AO23" s="207"/>
      <c r="AP23" s="200"/>
    </row>
    <row r="24" spans="1:43" ht="127.5" x14ac:dyDescent="0.2">
      <c r="A24" s="134" t="s">
        <v>294</v>
      </c>
      <c r="B24" s="152">
        <v>11</v>
      </c>
      <c r="C24" s="131" t="str">
        <f>'[7]Mapa final'!B10</f>
        <v>Económico</v>
      </c>
      <c r="D24" s="131" t="str">
        <f>'[7]Mapa final'!C10</f>
        <v xml:space="preserve">Vencimiento de terminos 
Dificultad en el control y seguimiento de todos los procesos judiciales.
</v>
      </c>
      <c r="E24" s="131" t="str">
        <f>'[7]Mapa final'!D10</f>
        <v>No seguimiento  efectivo de los procesos  judiciales</v>
      </c>
      <c r="F24" s="128" t="str">
        <f>'[7]Mapa final'!E10</f>
        <v xml:space="preserve">Posibilidad de providencias en contra de la institución, por inefectivo seguimiento a procesos judiciales o favorecimiento a la parte demandante al ejercer una defensa judicial  </v>
      </c>
      <c r="G24" s="131" t="str">
        <f>'[7]Mapa final'!F10</f>
        <v>Ejecucion y Administracion de procesos</v>
      </c>
      <c r="H24" s="131" t="str">
        <f>'[7]Mapa final'!G10</f>
        <v xml:space="preserve">Gestión Jurídica </v>
      </c>
      <c r="I24" s="131" t="s">
        <v>357</v>
      </c>
      <c r="J24" s="132">
        <f>'[7]Mapa final'!H10</f>
        <v>24</v>
      </c>
      <c r="K24" s="133" t="str">
        <f>'[7]Mapa final'!I10</f>
        <v>Baja</v>
      </c>
      <c r="L24" s="129">
        <f>'[7]Mapa final'!J10</f>
        <v>0.4</v>
      </c>
      <c r="M24" s="139" t="str">
        <f>'[7]Mapa final'!K10</f>
        <v>Mayor</v>
      </c>
      <c r="N24" s="133">
        <f>'[7]Mapa final'!L10</f>
        <v>10</v>
      </c>
      <c r="O24" s="133" t="str">
        <f>'[7]Mapa final'!M10</f>
        <v>Mayor</v>
      </c>
      <c r="P24" s="133">
        <f>'[7]Mapa final'!N10</f>
        <v>10</v>
      </c>
      <c r="Q24" s="129">
        <f>'[7]Mapa final'!O10</f>
        <v>0.8</v>
      </c>
      <c r="R24" s="130" t="str">
        <f>'[7]Mapa final'!P10</f>
        <v>Alto</v>
      </c>
      <c r="S24" s="134">
        <f>'[7]Mapa final'!Q10</f>
        <v>1</v>
      </c>
      <c r="T24" s="54" t="str">
        <f>'[7]Mapa final'!R10</f>
        <v>Los abogados de la oficina jurídica realizan seguimiento diario a los procesos judiciales frente a términos para defensa técnica y a la trazabilidad de los mismos conforme a lo establecido en el procedimiento OAJ-PR-05 Mediante matriz general de proceso OAJ-F-18</v>
      </c>
      <c r="U24" s="118" t="str">
        <f>'[7]Mapa final'!S10</f>
        <v>Probabilidad</v>
      </c>
      <c r="V24" s="64" t="str">
        <f>'[7]Mapa final'!T10</f>
        <v>Preventivo</v>
      </c>
      <c r="W24" s="64" t="str">
        <f>'[7]Mapa final'!U10</f>
        <v>Manual</v>
      </c>
      <c r="X24" s="60" t="str">
        <f>'[7]Mapa final'!V10</f>
        <v>40%</v>
      </c>
      <c r="Y24" s="64" t="str">
        <f>'[7]Mapa final'!W10</f>
        <v>Documentado</v>
      </c>
      <c r="Z24" s="64" t="str">
        <f>'[7]Mapa final'!X10</f>
        <v>Continua</v>
      </c>
      <c r="AA24" s="64" t="str">
        <f>'[7]Mapa final'!Y10</f>
        <v>Con Registro</v>
      </c>
      <c r="AB24" s="54" t="str">
        <f>'[7]Mapa final'!Z10</f>
        <v xml:space="preserve">OAJ-F-18 Matriz General de procesos, Informe trimestral al Comité de Conciliación por parte de la secretario técnica
 </v>
      </c>
      <c r="AC24" s="119">
        <f>'[7]Mapa final'!AA10</f>
        <v>0.24</v>
      </c>
      <c r="AD24" s="61" t="str">
        <f>'[7]Mapa final'!AB10</f>
        <v>Baja</v>
      </c>
      <c r="AE24" s="60">
        <f>'[7]Mapa final'!AC10</f>
        <v>0.24</v>
      </c>
      <c r="AF24" s="61" t="str">
        <f>'[7]Mapa final'!AD10</f>
        <v>Mayor</v>
      </c>
      <c r="AG24" s="60">
        <f>'[7]Mapa final'!AE10</f>
        <v>0.8</v>
      </c>
      <c r="AH24" s="62" t="str">
        <f>'[7]Mapa final'!AF10</f>
        <v>Alto</v>
      </c>
      <c r="AI24" s="62" t="str">
        <f>$AH$24</f>
        <v>Alto</v>
      </c>
      <c r="AJ24" s="64" t="str">
        <f>'[7]Mapa final'!AG10</f>
        <v>Reducir (mitigar)</v>
      </c>
      <c r="AK24" s="131" t="str">
        <f>'[7]Mapa final'!AH10</f>
        <v xml:space="preserve"> Realizar seguimiento al cumplimiento de los términos judiciales de acuerdo a la defensa técnica de la institución teniendo en cuenta la trazabilidad de procesos y las actividades programadas dentro de los mismos.</v>
      </c>
      <c r="AL24" s="131" t="str">
        <f>'[7]Mapa final'!AI10</f>
        <v>Asesor Jurídico</v>
      </c>
      <c r="AM24" s="147" t="str">
        <f>'[7]Mapa final'!AJ10</f>
        <v>Enero a diciembre 2023</v>
      </c>
      <c r="AN24" s="63" t="str">
        <f>'[7]Mapa final'!AK10</f>
        <v>Cuatrimestral</v>
      </c>
      <c r="AO24" s="131" t="str">
        <f>'[7]Mapa final'!AL10</f>
        <v>OAJ-F-18 Matriz general de procesos</v>
      </c>
      <c r="AP24" s="132" t="str">
        <f>'[7]Mapa final'!AM10</f>
        <v>En curso</v>
      </c>
    </row>
    <row r="25" spans="1:43" ht="102" x14ac:dyDescent="0.2">
      <c r="A25" s="201" t="s">
        <v>305</v>
      </c>
      <c r="B25" s="413">
        <v>12</v>
      </c>
      <c r="C25" s="207" t="s">
        <v>100</v>
      </c>
      <c r="D25" s="207"/>
      <c r="E25" s="207" t="s">
        <v>295</v>
      </c>
      <c r="F25" s="208" t="s">
        <v>296</v>
      </c>
      <c r="G25" s="207" t="s">
        <v>92</v>
      </c>
      <c r="H25" s="207" t="s">
        <v>297</v>
      </c>
      <c r="I25" s="204" t="s">
        <v>357</v>
      </c>
      <c r="J25" s="200">
        <v>24</v>
      </c>
      <c r="K25" s="209" t="str">
        <f>IF(J25&lt;=0,"",IF(J25&lt;=2,"Muy Baja",IF(J25&lt;=24,"Baja",IF(J25&lt;=500,"Media",IF(J25&lt;=5000,"Alta","Muy Alta")))))</f>
        <v>Baja</v>
      </c>
      <c r="L25" s="210">
        <f>'[8]Mapa final'!J10</f>
        <v>0.4</v>
      </c>
      <c r="M25" s="211" t="str">
        <f>'[8]Mapa final'!K10</f>
        <v>Mayor</v>
      </c>
      <c r="N25" s="209">
        <f>'[8]Mapa final'!L10</f>
        <v>10</v>
      </c>
      <c r="O25" s="217" t="str">
        <f>'[8]Mapa final'!M10</f>
        <v>Mayor</v>
      </c>
      <c r="P25" s="209">
        <f>'[8]Mapa final'!N10</f>
        <v>10</v>
      </c>
      <c r="Q25" s="210">
        <f>'[8]Mapa final'!O10</f>
        <v>0.8</v>
      </c>
      <c r="R25" s="218" t="str">
        <f>'[8]Mapa final'!P10</f>
        <v>Alto</v>
      </c>
      <c r="S25" s="134">
        <v>1</v>
      </c>
      <c r="T25" s="124" t="s">
        <v>360</v>
      </c>
      <c r="U25" s="118" t="str">
        <f t="shared" ref="U25:U29" si="18">IF(OR(V25="Preventivo",V25="Detectivo"),"Probabilidad",IF(V25="Correctivo","Impacto",""))</f>
        <v>Probabilidad</v>
      </c>
      <c r="V25" s="64" t="s">
        <v>13</v>
      </c>
      <c r="W25" s="64" t="s">
        <v>8</v>
      </c>
      <c r="X25" s="60" t="str">
        <f t="shared" ref="X25:X26" si="19">IF(AND(V25="Preventivo",W25="Automático"),"50%",IF(AND(V25="Preventivo",W25="Manual"),"40%",IF(AND(V25="Detectivo",W25="Automático"),"40%",IF(AND(V25="Detectivo",W25="Manual"),"30%",IF(AND(V25="Correctivo",W25="Automático"),"35%",IF(AND(V25="Correctivo",W25="Manual"),"25%",""))))))</f>
        <v>40%</v>
      </c>
      <c r="Y25" s="64" t="s">
        <v>18</v>
      </c>
      <c r="Z25" s="64" t="s">
        <v>21</v>
      </c>
      <c r="AA25" s="64" t="s">
        <v>88</v>
      </c>
      <c r="AB25" s="54" t="s">
        <v>298</v>
      </c>
      <c r="AC25" s="119">
        <f>IFERROR(IF(U25="Probabilidad",(L25-(+L25*X25)),IF(U25="Impacto",L25,"")),"")</f>
        <v>0.24</v>
      </c>
      <c r="AD25" s="61" t="str">
        <f>IFERROR(IF(AC25="","",IF(AC25&lt;=0.2,"Muy Baja",IF(AC25&lt;=0.4,"Baja",IF(AC25&lt;=0.6,"Media",IF(AC25&lt;=0.8,"Alta","Muy Alta"))))),"")</f>
        <v>Baja</v>
      </c>
      <c r="AE25" s="60">
        <f t="shared" ref="AE25:AE26" si="20">+AC25</f>
        <v>0.24</v>
      </c>
      <c r="AF25" s="61" t="str">
        <f>IFERROR(IF(AG25="","",IF(AG25&lt;=0.2,"Leve",IF(AG25&lt;=0.4,"Menor",IF(AG25&lt;=0.6,"Moderado",IF(AG25&lt;=0.8,"Mayor","Catastrófico"))))),"")</f>
        <v>Mayor</v>
      </c>
      <c r="AG25" s="60">
        <f>IFERROR(IF(U25="Impacto",(Q25-(+Q25*X25)),IF(U25="Probabilidad",Q25,"")),"")</f>
        <v>0.8</v>
      </c>
      <c r="AH25" s="62" t="str">
        <f t="shared" ref="AH25:AH26" si="21">IFERROR(IF(OR(AND(AD25="Muy Baja",AF25="Leve"),AND(AD25="Muy Baja",AF25="Menor"),AND(AD25="Baja",AF25="Leve")),"Bajo",IF(OR(AND(AD25="Muy baja",AF25="Moderado"),AND(AD25="Baja",AF25="Menor"),AND(AD25="Baja",AF25="Moderado"),AND(AD25="Media",AF25="Leve"),AND(AD25="Media",AF25="Menor"),AND(AD25="Media",AF25="Moderado"),AND(AD25="Alta",AF25="Leve"),AND(AD25="Alta",AF25="Menor")),"Moderado",IF(OR(AND(AD25="Muy Baja",AF25="Mayor"),AND(AD25="Baja",AF25="Mayor"),AND(AD25="Media",AF25="Mayor"),AND(AD25="Alta",AF25="Moderado"),AND(AD25="Alta",AF25="Mayor"),AND(AD25="Muy Alta",AF25="Leve"),AND(AD25="Muy Alta",AF25="Menor"),AND(AD25="Muy Alta",AF25="Moderado"),AND(AD25="Muy Alta",AF25="Mayor")),"Alto",IF(OR(AND(AD25="Muy Baja",AF25="Catastrófico"),AND(AD25="Baja",AF25="Catastrófico"),AND(AD25="Media",AF25="Catastrófico"),AND(AD25="Alta",AF25="Catastrófico"),AND(AD25="Muy Alta",AF25="Catastrófico")),"Extremo","")))),"")</f>
        <v>Alto</v>
      </c>
      <c r="AI25" s="213" t="str">
        <f>IFERROR(IF(OR(AND(AD26="Muy Baja",AF26="Leve"),AND(AD26="Muy Baja",AF26="Menor"),AND(AD26="Baja",AF26="Leve")),"Bajo",IF(OR(AND(AD26="Muy baja",AF26="Moderado"),AND(AD26="Baja",AF26="Menor"),AND(AD26="Baja",AF26="Moderado"),AND(AD26="Media",AF26="Leve"),AND(AD26="Media",AF26="Menor"),AND(AD26="Media",AF26="Moderado"),AND(AD26="Alta",AF26="Leve"),AND(AD26="Alta",AF26="Menor")),"Moderado",IF(OR(AND(AD26="Muy Baja",AF26="Mayor"),AND(AD26="Baja",AF26="Mayor"),AND(AD26="Media",AF26="Mayor"),AND(AD26="Alta",AF26="Moderado"),AND(AD26="Alta",AF26="Mayor"),AND(AD26="Muy Alta",AF26="Leve"),AND(AD26="Muy Alta",AF26="Menor"),AND(AD26="Muy Alta",AF26="Moderado"),AND(AD26="Muy Alta",AF26="Mayor")),"Alto",IF(OR(AND(AD26="Muy Baja",AF26="Catastrófico"),AND(AD26="Baja",AF26="Catastrófico"),AND(AD26="Media",AF26="Catastrófico"),AND(AD26="Alta",AF26="Catastrófico"),AND(AD26="Muy Alta",AF26="Catastrófico")),"Extremo","")))),"")</f>
        <v>Alto</v>
      </c>
      <c r="AJ25" s="222" t="s">
        <v>103</v>
      </c>
      <c r="AK25" s="207" t="s">
        <v>299</v>
      </c>
      <c r="AL25" s="207" t="s">
        <v>300</v>
      </c>
      <c r="AM25" s="215" t="s">
        <v>301</v>
      </c>
      <c r="AN25" s="216" t="s">
        <v>246</v>
      </c>
      <c r="AO25" s="207" t="s">
        <v>302</v>
      </c>
      <c r="AP25" s="200" t="s">
        <v>39</v>
      </c>
    </row>
    <row r="26" spans="1:43" ht="65.25" x14ac:dyDescent="0.2">
      <c r="A26" s="201"/>
      <c r="B26" s="417"/>
      <c r="C26" s="207"/>
      <c r="D26" s="207"/>
      <c r="E26" s="207"/>
      <c r="F26" s="208"/>
      <c r="G26" s="207"/>
      <c r="H26" s="207"/>
      <c r="I26" s="205"/>
      <c r="J26" s="200"/>
      <c r="K26" s="209"/>
      <c r="L26" s="210"/>
      <c r="M26" s="211"/>
      <c r="N26" s="209"/>
      <c r="O26" s="209"/>
      <c r="P26" s="209"/>
      <c r="Q26" s="210"/>
      <c r="R26" s="212"/>
      <c r="S26" s="134">
        <v>2</v>
      </c>
      <c r="T26" s="54" t="s">
        <v>303</v>
      </c>
      <c r="U26" s="118" t="str">
        <f t="shared" si="18"/>
        <v>Probabilidad</v>
      </c>
      <c r="V26" s="64" t="s">
        <v>13</v>
      </c>
      <c r="W26" s="64" t="s">
        <v>8</v>
      </c>
      <c r="X26" s="60" t="str">
        <f t="shared" si="19"/>
        <v>40%</v>
      </c>
      <c r="Y26" s="64" t="s">
        <v>18</v>
      </c>
      <c r="Z26" s="64" t="s">
        <v>21</v>
      </c>
      <c r="AA26" s="64" t="s">
        <v>88</v>
      </c>
      <c r="AB26" s="54" t="s">
        <v>304</v>
      </c>
      <c r="AC26" s="119">
        <f>IFERROR(IF(AND(U25="Probabilidad",U26="Probabilidad"),(AE25-(+AE25*X26)),IF(U26="Probabilidad",(L25-(+L25*X26)),IF(U26="Impacto",AE25,""))),"")</f>
        <v>0.14399999999999999</v>
      </c>
      <c r="AD26" s="61" t="str">
        <f t="shared" ref="AD26" si="22">IFERROR(IF(AC26="","",IF(AC26&lt;=0.2,"Muy Baja",IF(AC26&lt;=0.4,"Baja",IF(AC26&lt;=0.6,"Media",IF(AC26&lt;=0.8,"Alta","Muy Alta"))))),"")</f>
        <v>Muy Baja</v>
      </c>
      <c r="AE26" s="60">
        <f t="shared" si="20"/>
        <v>0.14399999999999999</v>
      </c>
      <c r="AF26" s="61" t="str">
        <f t="shared" ref="AF26" si="23">IFERROR(IF(AG26="","",IF(AG26&lt;=0.2,"Leve",IF(AG26&lt;=0.4,"Menor",IF(AG26&lt;=0.6,"Moderado",IF(AG26&lt;=0.8,"Mayor","Catastrófico"))))),"")</f>
        <v>Mayor</v>
      </c>
      <c r="AG26" s="60">
        <f>IFERROR(IF(AND(U25="Impacto",U26="Impacto"),(AG25-(+AG25*X26)),IF(U26="Impacto",($P$9-(+$P$9*X26)),IF(U26="Probabilidad",AG25,""))),"")</f>
        <v>0.8</v>
      </c>
      <c r="AH26" s="62" t="str">
        <f t="shared" si="21"/>
        <v>Alto</v>
      </c>
      <c r="AI26" s="213"/>
      <c r="AJ26" s="222"/>
      <c r="AK26" s="207"/>
      <c r="AL26" s="207"/>
      <c r="AM26" s="215"/>
      <c r="AN26" s="216"/>
      <c r="AO26" s="207"/>
      <c r="AP26" s="200"/>
    </row>
    <row r="27" spans="1:43" ht="165.75" x14ac:dyDescent="0.2">
      <c r="A27" s="201" t="s">
        <v>321</v>
      </c>
      <c r="B27" s="413">
        <v>13</v>
      </c>
      <c r="C27" s="207" t="s">
        <v>101</v>
      </c>
      <c r="D27" s="207"/>
      <c r="E27" s="207" t="s">
        <v>306</v>
      </c>
      <c r="F27" s="208" t="s">
        <v>307</v>
      </c>
      <c r="G27" s="207" t="s">
        <v>94</v>
      </c>
      <c r="H27" s="207" t="s">
        <v>308</v>
      </c>
      <c r="I27" s="204" t="s">
        <v>357</v>
      </c>
      <c r="J27" s="200">
        <v>12</v>
      </c>
      <c r="K27" s="209" t="str">
        <f>IF(J27&lt;=0,"",IF(J27&lt;=2,"Muy Baja",IF(J27&lt;=24,"Baja",IF(J27&lt;=500,"Media",IF(J27&lt;=5000,"Alta","Muy Alta")))))</f>
        <v>Baja</v>
      </c>
      <c r="L27" s="210">
        <f>IF(K27="","",IF(K27="Muy Baja",0.2,IF(K27="Baja",0.4,IF(K27="Media",0.6,IF(K27="Alta",0.8,IF(K27="Muy Alta",1,))))))</f>
        <v>0.4</v>
      </c>
      <c r="M27" s="211" t="str">
        <f>'[9]Mapa final'!K10</f>
        <v>Mayor</v>
      </c>
      <c r="N27" s="209">
        <f>+IF(M27="Moderado",5,IF(M27="Mayor",10,IF(M27="Catastrófico",20,"")))</f>
        <v>10</v>
      </c>
      <c r="O27" s="209" t="str">
        <f>IF(NOT(ISERROR(MATCH(M27,#REF!,0))),#REF!&amp;"Por favor no seleccionar los criterios de impacto(Afectación Económica o presupuestal y Pérdida Reputacional)",M27)</f>
        <v>Mayor</v>
      </c>
      <c r="P27" s="209">
        <f>+IF(M27="Moderado",5,IF(M27="Mayor",10,IF(M27="Catastrófico",20,"")))</f>
        <v>10</v>
      </c>
      <c r="Q27" s="210">
        <f>IF(O27="","",IF(O27="Moderado",0.6,IF(O27="Mayor",0.8,IF(O27="Catastrófico",1,))))</f>
        <v>0.8</v>
      </c>
      <c r="R27" s="212" t="str">
        <f>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Alto</v>
      </c>
      <c r="S27" s="134">
        <v>1</v>
      </c>
      <c r="T27" s="54" t="s">
        <v>309</v>
      </c>
      <c r="U27" s="118" t="str">
        <f t="shared" si="18"/>
        <v>Probabilidad</v>
      </c>
      <c r="V27" s="64" t="s">
        <v>13</v>
      </c>
      <c r="W27" s="64" t="s">
        <v>8</v>
      </c>
      <c r="X27" s="60" t="str">
        <f>IF(AND(V27="Preventivo",W27="Automático"),"50%",IF(AND(V27="Preventivo",W27="Manual"),"40%",IF(AND(V27="Detectivo",W27="Automático"),"40%",IF(AND(V27="Detectivo",W27="Manual"),"30%",IF(AND(V27="Correctivo",W27="Automático"),"35%",IF(AND(V27="Correctivo",W27="Manual"),"25%",""))))))</f>
        <v>40%</v>
      </c>
      <c r="Y27" s="64" t="s">
        <v>18</v>
      </c>
      <c r="Z27" s="64" t="s">
        <v>21</v>
      </c>
      <c r="AA27" s="64" t="s">
        <v>88</v>
      </c>
      <c r="AB27" s="54" t="s">
        <v>310</v>
      </c>
      <c r="AC27" s="119">
        <f>IFERROR(IF(U27="Probabilidad",(L27-(+L27*X27)),IF(U27="Impacto",L27,"")),"")</f>
        <v>0.24</v>
      </c>
      <c r="AD27" s="61" t="str">
        <f>IFERROR(IF(AC27="","",IF(AC27&lt;=0.2,"Muy Baja",IF(AC27&lt;=0.4,"Baja",IF(AC27&lt;=0.6,"Media",IF(AC27&lt;=0.8,"Alta","Muy Alta"))))),"")</f>
        <v>Baja</v>
      </c>
      <c r="AE27" s="60">
        <f>+AC27</f>
        <v>0.24</v>
      </c>
      <c r="AF27" s="61" t="str">
        <f>IFERROR(IF(AG27="","",IF(AG27&lt;=0.2,"Leve",IF(AG27&lt;=0.4,"Menor",IF(AG27&lt;=0.6,"Moderado",IF(AG27&lt;=0.8,"Mayor","Catastrófico"))))),"")</f>
        <v>Mayor</v>
      </c>
      <c r="AG27" s="60">
        <f>IFERROR(IF(U27="Impacto",(Q27-(+Q27*X27)),IF(U27="Probabilidad",Q27,"")),"")</f>
        <v>0.8</v>
      </c>
      <c r="AH27" s="62" t="str">
        <f>IFERROR(IF(OR(AND(AD27="Muy Baja",AF27="Leve"),AND(AD27="Muy Baja",AF27="Menor"),AND(AD27="Baja",AF27="Leve")),"Bajo",IF(OR(AND(AD27="Muy baja",AF27="Moderado"),AND(AD27="Baja",AF27="Menor"),AND(AD27="Baja",AF27="Moderado"),AND(AD27="Media",AF27="Leve"),AND(AD27="Media",AF27="Menor"),AND(AD27="Media",AF27="Moderado"),AND(AD27="Alta",AF27="Leve"),AND(AD27="Alta",AF27="Menor")),"Moderado",IF(OR(AND(AD27="Muy Baja",AF27="Mayor"),AND(AD27="Baja",AF27="Mayor"),AND(AD27="Media",AF27="Mayor"),AND(AD27="Alta",AF27="Moderado"),AND(AD27="Alta",AF27="Mayor"),AND(AD27="Muy Alta",AF27="Leve"),AND(AD27="Muy Alta",AF27="Menor"),AND(AD27="Muy Alta",AF27="Moderado"),AND(AD27="Muy Alta",AF27="Mayor")),"Alto",IF(OR(AND(AD27="Muy Baja",AF27="Catastrófico"),AND(AD27="Baja",AF27="Catastrófico"),AND(AD27="Media",AF27="Catastrófico"),AND(AD27="Alta",AF27="Catastrófico"),AND(AD27="Muy Alta",AF27="Catastrófico")),"Extremo","")))),"")</f>
        <v>Alto</v>
      </c>
      <c r="AI27" s="213" t="str">
        <f>IFERROR(IF(OR(AND(AD29="Muy Baja",AF29="Leve"),AND(AD29="Muy Baja",AF29="Menor"),AND(AD29="Baja",AF29="Leve")),"Bajo",IF(OR(AND(AD29="Muy baja",AF29="Moderado"),AND(AD29="Baja",AF29="Menor"),AND(AD29="Baja",AF29="Moderado"),AND(AD29="Media",AF29="Leve"),AND(AD29="Media",AF29="Menor"),AND(AD29="Media",AF29="Moderado"),AND(AD29="Alta",AF29="Leve"),AND(AD29="Alta",AF29="Menor")),"Moderado",IF(OR(AND(AD29="Muy Baja",AF29="Mayor"),AND(AD29="Baja",AF29="Mayor"),AND(AD29="Media",AF29="Mayor"),AND(AD29="Alta",AF29="Moderado"),AND(AD29="Alta",AF29="Mayor"),AND(AD29="Muy Alta",AF29="Leve"),AND(AD29="Muy Alta",AF29="Menor"),AND(AD29="Muy Alta",AF29="Moderado"),AND(AD29="Muy Alta",AF29="Mayor")),"Alto",IF(OR(AND(AD29="Muy Baja",AF29="Catastrófico"),AND(AD29="Baja",AF29="Catastrófico"),AND(AD29="Media",AF29="Catastrófico"),AND(AD29="Alta",AF29="Catastrófico"),AND(AD29="Muy Alta",AF29="Catastrófico")),"Extremo","")))),"")</f>
        <v>Alto</v>
      </c>
      <c r="AJ27" s="214" t="s">
        <v>103</v>
      </c>
      <c r="AK27" s="131" t="s">
        <v>311</v>
      </c>
      <c r="AL27" s="131" t="s">
        <v>312</v>
      </c>
      <c r="AM27" s="147" t="s">
        <v>301</v>
      </c>
      <c r="AN27" s="63" t="s">
        <v>246</v>
      </c>
      <c r="AO27" s="131" t="s">
        <v>313</v>
      </c>
      <c r="AP27" s="132" t="s">
        <v>39</v>
      </c>
    </row>
    <row r="28" spans="1:43" ht="127.5" x14ac:dyDescent="0.2">
      <c r="A28" s="201"/>
      <c r="B28" s="416"/>
      <c r="C28" s="207"/>
      <c r="D28" s="207"/>
      <c r="E28" s="207"/>
      <c r="F28" s="208"/>
      <c r="G28" s="207"/>
      <c r="H28" s="207"/>
      <c r="I28" s="206"/>
      <c r="J28" s="200"/>
      <c r="K28" s="209"/>
      <c r="L28" s="210"/>
      <c r="M28" s="211"/>
      <c r="N28" s="209"/>
      <c r="O28" s="209"/>
      <c r="P28" s="209"/>
      <c r="Q28" s="210"/>
      <c r="R28" s="212"/>
      <c r="S28" s="134">
        <v>2</v>
      </c>
      <c r="T28" s="54" t="s">
        <v>314</v>
      </c>
      <c r="U28" s="118" t="str">
        <f t="shared" si="18"/>
        <v>Probabilidad</v>
      </c>
      <c r="V28" s="64" t="s">
        <v>13</v>
      </c>
      <c r="W28" s="64" t="s">
        <v>8</v>
      </c>
      <c r="X28" s="60" t="str">
        <f t="shared" ref="X28:X29" si="24">IF(AND(V28="Preventivo",W28="Automático"),"50%",IF(AND(V28="Preventivo",W28="Manual"),"40%",IF(AND(V28="Detectivo",W28="Automático"),"40%",IF(AND(V28="Detectivo",W28="Manual"),"30%",IF(AND(V28="Correctivo",W28="Automático"),"35%",IF(AND(V28="Correctivo",W28="Manual"),"25%",""))))))</f>
        <v>40%</v>
      </c>
      <c r="Y28" s="64" t="s">
        <v>18</v>
      </c>
      <c r="Z28" s="64" t="s">
        <v>21</v>
      </c>
      <c r="AA28" s="64" t="s">
        <v>88</v>
      </c>
      <c r="AB28" s="54" t="s">
        <v>315</v>
      </c>
      <c r="AC28" s="119">
        <f>IFERROR(IF(AND(U27="Probabilidad",U28="Probabilidad"),(AE27-(+AE27*X28)),IF(U28="Probabilidad",(L27-(+L27*X28)),IF(U28="Impacto",AE27,""))),"")</f>
        <v>0.14399999999999999</v>
      </c>
      <c r="AD28" s="61" t="str">
        <f t="shared" ref="AD28:AD29" si="25">IFERROR(IF(AC28="","",IF(AC28&lt;=0.2,"Muy Baja",IF(AC28&lt;=0.4,"Baja",IF(AC28&lt;=0.6,"Media",IF(AC28&lt;=0.8,"Alta","Muy Alta"))))),"")</f>
        <v>Muy Baja</v>
      </c>
      <c r="AE28" s="60">
        <f t="shared" ref="AE28:AE29" si="26">+AC28</f>
        <v>0.14399999999999999</v>
      </c>
      <c r="AF28" s="61" t="str">
        <f t="shared" ref="AF28:AF29" si="27">IFERROR(IF(AG28="","",IF(AG28&lt;=0.2,"Leve",IF(AG28&lt;=0.4,"Menor",IF(AG28&lt;=0.6,"Moderado",IF(AG28&lt;=0.8,"Mayor","Catastrófico"))))),"")</f>
        <v>Mayor</v>
      </c>
      <c r="AG28" s="60">
        <f>IFERROR(IF(AND(U27="Impacto",U28="Impacto"),(AG27-(+AG27*X28)),IF(U28="Impacto",($P$9-(+$P$9*X28)),IF(U28="Probabilidad",AG27,""))),"")</f>
        <v>0.8</v>
      </c>
      <c r="AH28" s="62" t="str">
        <f t="shared" ref="AH28:AH29" si="28">IFERROR(IF(OR(AND(AD28="Muy Baja",AF28="Leve"),AND(AD28="Muy Baja",AF28="Menor"),AND(AD28="Baja",AF28="Leve")),"Bajo",IF(OR(AND(AD28="Muy baja",AF28="Moderado"),AND(AD28="Baja",AF28="Menor"),AND(AD28="Baja",AF28="Moderado"),AND(AD28="Media",AF28="Leve"),AND(AD28="Media",AF28="Menor"),AND(AD28="Media",AF28="Moderado"),AND(AD28="Alta",AF28="Leve"),AND(AD28="Alta",AF28="Menor")),"Moderado",IF(OR(AND(AD28="Muy Baja",AF28="Mayor"),AND(AD28="Baja",AF28="Mayor"),AND(AD28="Media",AF28="Mayor"),AND(AD28="Alta",AF28="Moderado"),AND(AD28="Alta",AF28="Mayor"),AND(AD28="Muy Alta",AF28="Leve"),AND(AD28="Muy Alta",AF28="Menor"),AND(AD28="Muy Alta",AF28="Moderado"),AND(AD28="Muy Alta",AF28="Mayor")),"Alto",IF(OR(AND(AD28="Muy Baja",AF28="Catastrófico"),AND(AD28="Baja",AF28="Catastrófico"),AND(AD28="Media",AF28="Catastrófico"),AND(AD28="Alta",AF28="Catastrófico"),AND(AD28="Muy Alta",AF28="Catastrófico")),"Extremo","")))),"")</f>
        <v>Alto</v>
      </c>
      <c r="AI28" s="213"/>
      <c r="AJ28" s="214"/>
      <c r="AK28" s="207" t="s">
        <v>316</v>
      </c>
      <c r="AL28" s="207" t="s">
        <v>317</v>
      </c>
      <c r="AM28" s="215" t="s">
        <v>301</v>
      </c>
      <c r="AN28" s="216" t="s">
        <v>246</v>
      </c>
      <c r="AO28" s="207" t="s">
        <v>318</v>
      </c>
      <c r="AP28" s="200" t="s">
        <v>39</v>
      </c>
    </row>
    <row r="29" spans="1:43" ht="76.5" x14ac:dyDescent="0.2">
      <c r="A29" s="201"/>
      <c r="B29" s="417"/>
      <c r="C29" s="207"/>
      <c r="D29" s="207"/>
      <c r="E29" s="207"/>
      <c r="F29" s="208"/>
      <c r="G29" s="207"/>
      <c r="H29" s="207"/>
      <c r="I29" s="205"/>
      <c r="J29" s="200"/>
      <c r="K29" s="209"/>
      <c r="L29" s="210"/>
      <c r="M29" s="211"/>
      <c r="N29" s="209"/>
      <c r="O29" s="209"/>
      <c r="P29" s="209"/>
      <c r="Q29" s="210"/>
      <c r="R29" s="212"/>
      <c r="S29" s="134">
        <v>3</v>
      </c>
      <c r="T29" s="54" t="s">
        <v>319</v>
      </c>
      <c r="U29" s="118" t="str">
        <f t="shared" si="18"/>
        <v>Probabilidad</v>
      </c>
      <c r="V29" s="64" t="s">
        <v>13</v>
      </c>
      <c r="W29" s="64" t="s">
        <v>8</v>
      </c>
      <c r="X29" s="60" t="str">
        <f t="shared" si="24"/>
        <v>40%</v>
      </c>
      <c r="Y29" s="64" t="s">
        <v>18</v>
      </c>
      <c r="Z29" s="64" t="s">
        <v>21</v>
      </c>
      <c r="AA29" s="64" t="s">
        <v>88</v>
      </c>
      <c r="AB29" s="54" t="s">
        <v>320</v>
      </c>
      <c r="AC29" s="119">
        <f>IFERROR(IF(AND(U28="Probabilidad",U29="Probabilidad"),(AE28-(+AE28*X29)),IF(AND(U28="Impacto",U29="Probabilidad"),(AE27-(+AE27*X29)),IF(U29="Impacto",AE28,""))),"")</f>
        <v>8.6399999999999991E-2</v>
      </c>
      <c r="AD29" s="61" t="str">
        <f t="shared" si="25"/>
        <v>Muy Baja</v>
      </c>
      <c r="AE29" s="60">
        <f t="shared" si="26"/>
        <v>8.6399999999999991E-2</v>
      </c>
      <c r="AF29" s="61" t="str">
        <f t="shared" si="27"/>
        <v>Mayor</v>
      </c>
      <c r="AG29" s="60">
        <f>IFERROR(IF(AND(U28="Impacto",U29="Impacto"),(AG28-(+AG28*X29)),IF(AND(U28="Probabilidad",U29="Impacto"),(AG27-(+AG27*X29)),IF(U29="Probabilidad",AG28,""))),"")</f>
        <v>0.8</v>
      </c>
      <c r="AH29" s="62" t="str">
        <f t="shared" si="28"/>
        <v>Alto</v>
      </c>
      <c r="AI29" s="213"/>
      <c r="AJ29" s="214"/>
      <c r="AK29" s="207"/>
      <c r="AL29" s="207"/>
      <c r="AM29" s="215"/>
      <c r="AN29" s="216"/>
      <c r="AO29" s="207"/>
      <c r="AP29" s="200"/>
    </row>
    <row r="30" spans="1:43" ht="102" x14ac:dyDescent="0.2">
      <c r="A30" s="220" t="s">
        <v>349</v>
      </c>
      <c r="B30" s="413">
        <v>14</v>
      </c>
      <c r="C30" s="207" t="s">
        <v>99</v>
      </c>
      <c r="D30" s="221"/>
      <c r="E30" s="207" t="s">
        <v>295</v>
      </c>
      <c r="F30" s="208" t="s">
        <v>322</v>
      </c>
      <c r="G30" s="207" t="s">
        <v>97</v>
      </c>
      <c r="H30" s="207" t="s">
        <v>323</v>
      </c>
      <c r="I30" s="204" t="s">
        <v>357</v>
      </c>
      <c r="J30" s="200">
        <v>12</v>
      </c>
      <c r="K30" s="209" t="str">
        <f>IF(J30&lt;=0,"",IF(J30&lt;=2,"Muy Baja",IF(J30&lt;=24,"Baja",IF(J30&lt;=500,"Media",IF(J30&lt;=5000,"Alta","Muy Alta")))))</f>
        <v>Baja</v>
      </c>
      <c r="L30" s="210">
        <f>IF(K30="","",IF(K30="Muy Baja",0.2,IF(K30="Baja",0.4,IF(K30="Media",0.6,IF(K30="Alta",0.8,IF(K30="Muy Alta",1,))))))</f>
        <v>0.4</v>
      </c>
      <c r="M30" s="211" t="str">
        <f>'[10]Mapa final'!K10</f>
        <v>Mayor</v>
      </c>
      <c r="N30" s="209">
        <f>'[10]Mapa final'!L10</f>
        <v>10</v>
      </c>
      <c r="O30" s="217" t="str">
        <f>'[10]Mapa final'!M10</f>
        <v>Mayor</v>
      </c>
      <c r="P30" s="209">
        <f>'[10]Mapa final'!N10</f>
        <v>10</v>
      </c>
      <c r="Q30" s="210">
        <f>'[10]Mapa final'!O10</f>
        <v>0.8</v>
      </c>
      <c r="R30" s="218" t="str">
        <f>'[10]Mapa final'!P10</f>
        <v>Alto</v>
      </c>
      <c r="S30" s="134">
        <v>1</v>
      </c>
      <c r="T30" s="124" t="s">
        <v>361</v>
      </c>
      <c r="U30" s="118" t="str">
        <f>IF(OR(V30="Preventivo",V30="Detectivo"),"Probabilidad",IF(V30="Correctivo","Impacto",""))</f>
        <v>Probabilidad</v>
      </c>
      <c r="V30" s="64" t="s">
        <v>13</v>
      </c>
      <c r="W30" s="64" t="s">
        <v>8</v>
      </c>
      <c r="X30" s="60" t="str">
        <f>IF(AND(V30="Preventivo",W30="Automático"),"50%",IF(AND(V30="Preventivo",W30="Manual"),"40%",IF(AND(V30="Detectivo",W30="Automático"),"40%",IF(AND(V30="Detectivo",W30="Manual"),"30%",IF(AND(V30="Correctivo",W30="Automático"),"35%",IF(AND(V30="Correctivo",W30="Manual"),"25%",""))))))</f>
        <v>40%</v>
      </c>
      <c r="Y30" s="64" t="s">
        <v>18</v>
      </c>
      <c r="Z30" s="64" t="s">
        <v>21</v>
      </c>
      <c r="AA30" s="64" t="s">
        <v>88</v>
      </c>
      <c r="AB30" s="54" t="s">
        <v>324</v>
      </c>
      <c r="AC30" s="119">
        <f>IFERROR(IF(U30="Probabilidad",(L30-(+L30*X30)),IF(U30="Impacto",L30,"")),"")</f>
        <v>0.24</v>
      </c>
      <c r="AD30" s="61" t="str">
        <f>IFERROR(IF(AC30="","",IF(AC30&lt;=0.2,"Muy Baja",IF(AC30&lt;=0.4,"Baja",IF(AC30&lt;=0.6,"Media",IF(AC30&lt;=0.8,"Alta","Muy Alta"))))),"")</f>
        <v>Baja</v>
      </c>
      <c r="AE30" s="60">
        <f>+AC30</f>
        <v>0.24</v>
      </c>
      <c r="AF30" s="61" t="str">
        <f>IFERROR(IF(AG30="","",IF(AG30&lt;=0.2,"Leve",IF(AG30&lt;=0.4,"Menor",IF(AG30&lt;=0.6,"Moderado",IF(AG30&lt;=0.8,"Mayor","Catastrófico"))))),"")</f>
        <v>Mayor</v>
      </c>
      <c r="AG30" s="60">
        <f>IFERROR(IF(U30="Impacto",(Q30-(+Q30*X30)),IF(U30="Probabilidad",Q30,"")),"")</f>
        <v>0.8</v>
      </c>
      <c r="AH30" s="62" t="str">
        <f>IFERROR(IF(OR(AND(AD30="Muy Baja",AF30="Leve"),AND(AD30="Muy Baja",AF30="Menor"),AND(AD30="Baja",AF30="Leve")),"Bajo",IF(OR(AND(AD30="Muy baja",AF30="Moderado"),AND(AD30="Baja",AF30="Menor"),AND(AD30="Baja",AF30="Moderado"),AND(AD30="Media",AF30="Leve"),AND(AD30="Media",AF30="Menor"),AND(AD30="Media",AF30="Moderado"),AND(AD30="Alta",AF30="Leve"),AND(AD30="Alta",AF30="Menor")),"Moderado",IF(OR(AND(AD30="Muy Baja",AF30="Mayor"),AND(AD30="Baja",AF30="Mayor"),AND(AD30="Media",AF30="Mayor"),AND(AD30="Alta",AF30="Moderado"),AND(AD30="Alta",AF30="Mayor"),AND(AD30="Muy Alta",AF30="Leve"),AND(AD30="Muy Alta",AF30="Menor"),AND(AD30="Muy Alta",AF30="Moderado"),AND(AD30="Muy Alta",AF30="Mayor")),"Alto",IF(OR(AND(AD30="Muy Baja",AF30="Catastrófico"),AND(AD30="Baja",AF30="Catastrófico"),AND(AD30="Media",AF30="Catastrófico"),AND(AD30="Alta",AF30="Catastrófico"),AND(AD30="Muy Alta",AF30="Catastrófico")),"Extremo","")))),"")</f>
        <v>Alto</v>
      </c>
      <c r="AI30" s="213" t="str">
        <f>IFERROR(IF(OR(AND(AD31="Muy Baja",AF31="Leve"),AND(AD31="Muy Baja",AF31="Menor"),AND(AD31="Baja",AF31="Leve")),"Bajo",IF(OR(AND(AD31="Muy baja",AF31="Moderado"),AND(AD31="Baja",AF31="Menor"),AND(AD31="Baja",AF31="Moderado"),AND(AD31="Media",AF31="Leve"),AND(AD31="Media",AF31="Menor"),AND(AD31="Media",AF31="Moderado"),AND(AD31="Alta",AF31="Leve"),AND(AD31="Alta",AF31="Menor")),"Moderado",IF(OR(AND(AD31="Muy Baja",AF31="Mayor"),AND(AD31="Baja",AF31="Mayor"),AND(AD31="Media",AF31="Mayor"),AND(AD31="Alta",AF31="Moderado"),AND(AD31="Alta",AF31="Mayor"),AND(AD31="Muy Alta",AF31="Leve"),AND(AD31="Muy Alta",AF31="Menor"),AND(AD31="Muy Alta",AF31="Moderado"),AND(AD31="Muy Alta",AF31="Mayor")),"Alto",IF(OR(AND(AD31="Muy Baja",AF31="Catastrófico"),AND(AD31="Baja",AF31="Catastrófico"),AND(AD31="Media",AF31="Catastrófico"),AND(AD31="Alta",AF31="Catastrófico"),AND(AD31="Muy Alta",AF31="Catastrófico")),"Extremo","")))),"")</f>
        <v>Alto</v>
      </c>
      <c r="AJ30" s="214" t="s">
        <v>31</v>
      </c>
      <c r="AK30" s="131" t="s">
        <v>253</v>
      </c>
      <c r="AL30" s="131" t="s">
        <v>253</v>
      </c>
      <c r="AM30" s="131" t="s">
        <v>253</v>
      </c>
      <c r="AN30" s="131" t="s">
        <v>253</v>
      </c>
      <c r="AO30" s="131" t="s">
        <v>253</v>
      </c>
      <c r="AP30" s="131" t="s">
        <v>253</v>
      </c>
    </row>
    <row r="31" spans="1:43" ht="65.25" x14ac:dyDescent="0.2">
      <c r="A31" s="220"/>
      <c r="B31" s="414"/>
      <c r="C31" s="207"/>
      <c r="D31" s="221"/>
      <c r="E31" s="207"/>
      <c r="F31" s="208"/>
      <c r="G31" s="207"/>
      <c r="H31" s="207"/>
      <c r="I31" s="205"/>
      <c r="J31" s="200"/>
      <c r="K31" s="209"/>
      <c r="L31" s="210"/>
      <c r="M31" s="211"/>
      <c r="N31" s="209"/>
      <c r="O31" s="209"/>
      <c r="P31" s="209"/>
      <c r="Q31" s="210"/>
      <c r="R31" s="212"/>
      <c r="S31" s="134">
        <v>2</v>
      </c>
      <c r="T31" s="54" t="s">
        <v>325</v>
      </c>
      <c r="U31" s="118" t="str">
        <f t="shared" ref="U31:U34" si="29">IF(OR(V31="Preventivo",V31="Detectivo"),"Probabilidad",IF(V31="Correctivo","Impacto",""))</f>
        <v>Probabilidad</v>
      </c>
      <c r="V31" s="64" t="s">
        <v>13</v>
      </c>
      <c r="W31" s="64" t="s">
        <v>8</v>
      </c>
      <c r="X31" s="60" t="str">
        <f>IF(AND(V31="Preventivo",W31="Automático"),"50%",IF(AND(V31="Preventivo",W31="Manual"),"40%",IF(AND(V31="Detectivo",W31="Automático"),"40%",IF(AND(V31="Detectivo",W31="Manual"),"30%",IF(AND(V31="Correctivo",W31="Automático"),"35%",IF(AND(V31="Correctivo",W31="Manual"),"25%",""))))))</f>
        <v>40%</v>
      </c>
      <c r="Y31" s="64" t="s">
        <v>18</v>
      </c>
      <c r="Z31" s="64" t="s">
        <v>21</v>
      </c>
      <c r="AA31" s="64" t="s">
        <v>88</v>
      </c>
      <c r="AB31" s="54" t="s">
        <v>326</v>
      </c>
      <c r="AC31" s="119">
        <f>IFERROR(IF(AND(U30="Probabilidad",U31="Probabilidad"),(AE30-(+AE30*X31)),IF(U31="Probabilidad",(L30-(+L30*X31)),IF(U31="Impacto",AE30,""))),"")</f>
        <v>0.14399999999999999</v>
      </c>
      <c r="AD31" s="61" t="str">
        <f t="shared" ref="AD31" si="30">IFERROR(IF(AC31="","",IF(AC31&lt;=0.2,"Muy Baja",IF(AC31&lt;=0.4,"Baja",IF(AC31&lt;=0.6,"Media",IF(AC31&lt;=0.8,"Alta","Muy Alta"))))),"")</f>
        <v>Muy Baja</v>
      </c>
      <c r="AE31" s="60">
        <f t="shared" ref="AE31" si="31">+AC31</f>
        <v>0.14399999999999999</v>
      </c>
      <c r="AF31" s="61" t="str">
        <f t="shared" ref="AF31" si="32">IFERROR(IF(AG31="","",IF(AG31&lt;=0.2,"Leve",IF(AG31&lt;=0.4,"Menor",IF(AG31&lt;=0.6,"Moderado",IF(AG31&lt;=0.8,"Mayor","Catastrófico"))))),"")</f>
        <v>Mayor</v>
      </c>
      <c r="AG31" s="60">
        <f>IFERROR(IF(AND(U30="Impacto",U31="Impacto"),(AG30-(+AG30*X31)),IF(U31="Impacto",($P$9-(+$P$9*X31)),IF(U31="Probabilidad",AG30,""))),"")</f>
        <v>0.8</v>
      </c>
      <c r="AH31" s="62" t="str">
        <f>IFERROR(IF(OR(AND(AD31="Muy Baja",AF31="Leve"),AND(AD31="Muy Baja",AF31="Menor"),AND(AD31="Baja",AF31="Leve")),"Bajo",IF(OR(AND(AD31="Muy baja",AF31="Moderado"),AND(AD31="Baja",AF31="Menor"),AND(AD31="Baja",AF31="Moderado"),AND(AD31="Media",AF31="Leve"),AND(AD31="Media",AF31="Menor"),AND(AD31="Media",AF31="Moderado"),AND(AD31="Alta",AF31="Leve"),AND(AD31="Alta",AF31="Menor")),"Moderado",IF(OR(AND(AD31="Muy Baja",AF31="Mayor"),AND(AD31="Baja",AF31="Mayor"),AND(AD31="Media",AF31="Mayor"),AND(AD31="Alta",AF31="Moderado"),AND(AD31="Alta",AF31="Mayor"),AND(AD31="Muy Alta",AF31="Leve"),AND(AD31="Muy Alta",AF31="Menor"),AND(AD31="Muy Alta",AF31="Moderado"),AND(AD31="Muy Alta",AF31="Mayor")),"Alto",IF(OR(AND(AD31="Muy Baja",AF31="Catastrófico"),AND(AD31="Baja",AF31="Catastrófico"),AND(AD31="Media",AF31="Catastrófico"),AND(AD31="Alta",AF31="Catastrófico"),AND(AD31="Muy Alta",AF31="Catastrófico")),"Extremo","")))),"")</f>
        <v>Alto</v>
      </c>
      <c r="AI31" s="213"/>
      <c r="AJ31" s="214"/>
      <c r="AK31" s="131" t="s">
        <v>253</v>
      </c>
      <c r="AL31" s="131" t="s">
        <v>253</v>
      </c>
      <c r="AM31" s="131" t="s">
        <v>253</v>
      </c>
      <c r="AN31" s="131" t="s">
        <v>253</v>
      </c>
      <c r="AO31" s="131" t="s">
        <v>253</v>
      </c>
      <c r="AP31" s="131" t="s">
        <v>253</v>
      </c>
    </row>
    <row r="32" spans="1:43" ht="280.5" x14ac:dyDescent="0.2">
      <c r="A32" s="201" t="s">
        <v>335</v>
      </c>
      <c r="B32" s="137">
        <v>15</v>
      </c>
      <c r="C32" s="131" t="s">
        <v>101</v>
      </c>
      <c r="D32" s="131"/>
      <c r="E32" s="131" t="s">
        <v>327</v>
      </c>
      <c r="F32" s="128" t="s">
        <v>328</v>
      </c>
      <c r="G32" s="131" t="s">
        <v>94</v>
      </c>
      <c r="H32" s="131" t="s">
        <v>329</v>
      </c>
      <c r="I32" s="131" t="s">
        <v>357</v>
      </c>
      <c r="J32" s="132">
        <f>12*30</f>
        <v>360</v>
      </c>
      <c r="K32" s="133" t="str">
        <f>IF(J32&lt;=0,"",IF(J32&lt;=2,"Muy Baja",IF(J32&lt;=24,"Baja",IF(J32&lt;=500,"Media",IF(J32&lt;=5000,"Alta","Muy Alta")))))</f>
        <v>Media</v>
      </c>
      <c r="L32" s="129">
        <f>IF(K32="","",IF(K32="Muy Baja",0.2,IF(K32="Baja",0.4,IF(K32="Media",0.6,IF(K32="Alta",0.8,IF(K32="Muy Alta",1,))))))</f>
        <v>0.6</v>
      </c>
      <c r="M32" s="139" t="str">
        <f>'[11]Mapa final'!K10</f>
        <v>Catastrófico</v>
      </c>
      <c r="N32" s="133">
        <f>'[11]Mapa final'!L10</f>
        <v>20</v>
      </c>
      <c r="O32" s="140" t="str">
        <f>'[11]Mapa final'!M10</f>
        <v>Catastrófico</v>
      </c>
      <c r="P32" s="133">
        <f>'[11]Mapa final'!N10</f>
        <v>20</v>
      </c>
      <c r="Q32" s="129">
        <f>'[11]Mapa final'!O10</f>
        <v>1</v>
      </c>
      <c r="R32" s="142" t="str">
        <f>'[11]Mapa final'!P10</f>
        <v>Extremo</v>
      </c>
      <c r="S32" s="134">
        <v>1</v>
      </c>
      <c r="T32" s="54" t="s">
        <v>330</v>
      </c>
      <c r="U32" s="118" t="str">
        <f t="shared" si="29"/>
        <v>Probabilidad</v>
      </c>
      <c r="V32" s="64" t="s">
        <v>13</v>
      </c>
      <c r="W32" s="64" t="s">
        <v>8</v>
      </c>
      <c r="X32" s="60" t="str">
        <f>IF(AND(V32="Preventivo",W32="Automático"),"50%",IF(AND(V32="Preventivo",W32="Manual"),"40%",IF(AND(V32="Detectivo",W32="Automático"),"40%",IF(AND(V32="Detectivo",W32="Manual"),"30%",IF(AND(V32="Correctivo",W32="Automático"),"35%",IF(AND(V32="Correctivo",W32="Manual"),"25%",""))))))</f>
        <v>40%</v>
      </c>
      <c r="Y32" s="64" t="s">
        <v>18</v>
      </c>
      <c r="Z32" s="64" t="s">
        <v>21</v>
      </c>
      <c r="AA32" s="64" t="s">
        <v>88</v>
      </c>
      <c r="AB32" s="54" t="s">
        <v>331</v>
      </c>
      <c r="AC32" s="119">
        <f>IFERROR(IF(U32="Probabilidad",(L32-(+L32*X32)),IF(U32="Impacto",L32,"")),"")</f>
        <v>0.36</v>
      </c>
      <c r="AD32" s="61" t="str">
        <f>IFERROR(IF(AC32="","",IF(AC32&lt;=0.2,"Muy Baja",IF(AC32&lt;=0.4,"Baja",IF(AC32&lt;=0.6,"Media",IF(AC32&lt;=0.8,"Alta","Muy Alta"))))),"")</f>
        <v>Baja</v>
      </c>
      <c r="AE32" s="60">
        <f>+AC32</f>
        <v>0.36</v>
      </c>
      <c r="AF32" s="61" t="str">
        <f>IFERROR(IF(AG32="","",IF(AG32&lt;=0.2,"Leve",IF(AG32&lt;=0.4,"Menor",IF(AG32&lt;=0.6,"Moderado",IF(AG32&lt;=0.8,"Mayor","Catastrófico"))))),"")</f>
        <v>Catastrófico</v>
      </c>
      <c r="AG32" s="60">
        <f>IFERROR(IF(U32="Impacto",(Q32-(+Q32*X32)),IF(U32="Probabilidad",Q32,"")),"")</f>
        <v>1</v>
      </c>
      <c r="AH32" s="62" t="str">
        <f>IFERROR(IF(OR(AND(AD32="Muy Baja",AF32="Leve"),AND(AD32="Muy Baja",AF32="Menor"),AND(AD32="Baja",AF32="Leve")),"Bajo",IF(OR(AND(AD32="Muy baja",AF32="Moderado"),AND(AD32="Baja",AF32="Menor"),AND(AD32="Baja",AF32="Moderado"),AND(AD32="Media",AF32="Leve"),AND(AD32="Media",AF32="Menor"),AND(AD32="Media",AF32="Moderado"),AND(AD32="Alta",AF32="Leve"),AND(AD32="Alta",AF32="Menor")),"Moderado",IF(OR(AND(AD32="Muy Baja",AF32="Mayor"),AND(AD32="Baja",AF32="Mayor"),AND(AD32="Media",AF32="Mayor"),AND(AD32="Alta",AF32="Moderado"),AND(AD32="Alta",AF32="Mayor"),AND(AD32="Muy Alta",AF32="Leve"),AND(AD32="Muy Alta",AF32="Menor"),AND(AD32="Muy Alta",AF32="Moderado"),AND(AD32="Muy Alta",AF32="Mayor")),"Alto",IF(OR(AND(AD32="Muy Baja",AF32="Catastrófico"),AND(AD32="Baja",AF32="Catastrófico"),AND(AD32="Media",AF32="Catastrófico"),AND(AD32="Alta",AF32="Catastrófico"),AND(AD32="Muy Alta",AF32="Catastrófico")),"Extremo","")))),"")</f>
        <v>Extremo</v>
      </c>
      <c r="AI32" s="62" t="str">
        <f>$AH$32</f>
        <v>Extremo</v>
      </c>
      <c r="AJ32" s="64" t="s">
        <v>31</v>
      </c>
      <c r="AK32" s="131" t="s">
        <v>253</v>
      </c>
      <c r="AL32" s="131" t="s">
        <v>253</v>
      </c>
      <c r="AM32" s="131" t="s">
        <v>253</v>
      </c>
      <c r="AN32" s="131" t="s">
        <v>253</v>
      </c>
      <c r="AO32" s="131" t="s">
        <v>253</v>
      </c>
      <c r="AP32" s="131" t="s">
        <v>253</v>
      </c>
    </row>
    <row r="33" spans="1:42" ht="108" customHeight="1" x14ac:dyDescent="0.2">
      <c r="A33" s="201"/>
      <c r="B33" s="415">
        <v>16</v>
      </c>
      <c r="C33" s="207" t="s">
        <v>100</v>
      </c>
      <c r="D33" s="207"/>
      <c r="E33" s="207" t="s">
        <v>295</v>
      </c>
      <c r="F33" s="208" t="s">
        <v>368</v>
      </c>
      <c r="G33" s="207" t="s">
        <v>97</v>
      </c>
      <c r="H33" s="207" t="s">
        <v>329</v>
      </c>
      <c r="I33" s="204" t="s">
        <v>357</v>
      </c>
      <c r="J33" s="200">
        <v>6</v>
      </c>
      <c r="K33" s="209" t="str">
        <f>IF(J33&lt;=0,"",IF(J33&lt;=2,"Muy Baja",IF(J33&lt;=24,"Baja",IF(J33&lt;=500,"Media",IF(J33&lt;=5000,"Alta","Muy Alta")))))</f>
        <v>Baja</v>
      </c>
      <c r="L33" s="210">
        <f>IF(K33="","",IF(K33="Muy Baja",0.2,IF(K33="Baja",0.4,IF(K33="Media",0.6,IF(K33="Alta",0.8,IF(K33="Muy Alta",1,))))))</f>
        <v>0.4</v>
      </c>
      <c r="M33" s="211" t="str">
        <f>'[11]Mapa final'!K13</f>
        <v>Mayor</v>
      </c>
      <c r="N33" s="209">
        <f>'[11]Mapa final'!L13</f>
        <v>10</v>
      </c>
      <c r="O33" s="217" t="str">
        <f>'[11]Mapa final'!M13</f>
        <v>Mayor</v>
      </c>
      <c r="P33" s="209">
        <f>'[11]Mapa final'!N13</f>
        <v>10</v>
      </c>
      <c r="Q33" s="210">
        <f>'[11]Mapa final'!O13</f>
        <v>0.8</v>
      </c>
      <c r="R33" s="218" t="str">
        <f>'[11]Mapa final'!P13</f>
        <v>Alto</v>
      </c>
      <c r="S33" s="134">
        <v>1</v>
      </c>
      <c r="T33" s="124" t="s">
        <v>362</v>
      </c>
      <c r="U33" s="118" t="str">
        <f t="shared" si="29"/>
        <v>Probabilidad</v>
      </c>
      <c r="V33" s="64" t="s">
        <v>13</v>
      </c>
      <c r="W33" s="64" t="s">
        <v>8</v>
      </c>
      <c r="X33" s="60" t="str">
        <f>IF(AND(V33="Preventivo",W33="Automático"),"50%",IF(AND(V33="Preventivo",W33="Manual"),"40%",IF(AND(V33="Detectivo",W33="Automático"),"40%",IF(AND(V33="Detectivo",W33="Manual"),"30%",IF(AND(V33="Correctivo",W33="Automático"),"35%",IF(AND(V33="Correctivo",W33="Manual"),"25%",""))))))</f>
        <v>40%</v>
      </c>
      <c r="Y33" s="64" t="s">
        <v>18</v>
      </c>
      <c r="Z33" s="64" t="s">
        <v>21</v>
      </c>
      <c r="AA33" s="64" t="s">
        <v>88</v>
      </c>
      <c r="AB33" s="54" t="s">
        <v>298</v>
      </c>
      <c r="AC33" s="119">
        <f>IFERROR(IF(U33="Probabilidad",(L33-(+L33*X33)),IF(U33="Impacto",L33,"")),"")</f>
        <v>0.24</v>
      </c>
      <c r="AD33" s="61" t="str">
        <f>IFERROR(IF(AC33="","",IF(AC33&lt;=0.2,"Muy Baja",IF(AC33&lt;=0.4,"Baja",IF(AC33&lt;=0.6,"Media",IF(AC33&lt;=0.8,"Alta","Muy Alta"))))),"")</f>
        <v>Baja</v>
      </c>
      <c r="AE33" s="60">
        <f>+AC33</f>
        <v>0.24</v>
      </c>
      <c r="AF33" s="61" t="str">
        <f>IFERROR(IF(AG33="","",IF(AG33&lt;=0.2,"Leve",IF(AG33&lt;=0.4,"Menor",IF(AG33&lt;=0.6,"Moderado",IF(AG33&lt;=0.8,"Mayor","Catastrófico"))))),"")</f>
        <v>Mayor</v>
      </c>
      <c r="AG33" s="60">
        <f>IFERROR(IF(U33="Impacto",(Q33-(+Q33*X33)),IF(U33="Probabilidad",Q33,"")),"")</f>
        <v>0.8</v>
      </c>
      <c r="AH33" s="62" t="str">
        <f>IFERROR(IF(OR(AND(AD33="Muy Baja",AF33="Leve"),AND(AD33="Muy Baja",AF33="Menor"),AND(AD33="Baja",AF33="Leve")),"Bajo",IF(OR(AND(AD33="Muy baja",AF33="Moderado"),AND(AD33="Baja",AF33="Menor"),AND(AD33="Baja",AF33="Moderado"),AND(AD33="Media",AF33="Leve"),AND(AD33="Media",AF33="Menor"),AND(AD33="Media",AF33="Moderado"),AND(AD33="Alta",AF33="Leve"),AND(AD33="Alta",AF33="Menor")),"Moderado",IF(OR(AND(AD33="Muy Baja",AF33="Mayor"),AND(AD33="Baja",AF33="Mayor"),AND(AD33="Media",AF33="Mayor"),AND(AD33="Alta",AF33="Moderado"),AND(AD33="Alta",AF33="Mayor"),AND(AD33="Muy Alta",AF33="Leve"),AND(AD33="Muy Alta",AF33="Menor"),AND(AD33="Muy Alta",AF33="Moderado"),AND(AD33="Muy Alta",AF33="Mayor")),"Alto",IF(OR(AND(AD33="Muy Baja",AF33="Catastrófico"),AND(AD33="Baja",AF33="Catastrófico"),AND(AD33="Media",AF33="Catastrófico"),AND(AD33="Alta",AF33="Catastrófico"),AND(AD33="Muy Alta",AF33="Catastrófico")),"Extremo","")))),"")</f>
        <v>Alto</v>
      </c>
      <c r="AI33" s="219" t="str">
        <f t="shared" ref="AI33" si="33">$AH$33</f>
        <v>Alto</v>
      </c>
      <c r="AJ33" s="214" t="s">
        <v>103</v>
      </c>
      <c r="AK33" s="204" t="s">
        <v>299</v>
      </c>
      <c r="AL33" s="204" t="s">
        <v>332</v>
      </c>
      <c r="AM33" s="215" t="s">
        <v>301</v>
      </c>
      <c r="AN33" s="216" t="s">
        <v>246</v>
      </c>
      <c r="AO33" s="204" t="s">
        <v>302</v>
      </c>
      <c r="AP33" s="202" t="s">
        <v>39</v>
      </c>
    </row>
    <row r="34" spans="1:42" ht="93.75" customHeight="1" x14ac:dyDescent="0.2">
      <c r="A34" s="201"/>
      <c r="B34" s="414"/>
      <c r="C34" s="207"/>
      <c r="D34" s="207"/>
      <c r="E34" s="207"/>
      <c r="F34" s="208"/>
      <c r="G34" s="207"/>
      <c r="H34" s="207"/>
      <c r="I34" s="205"/>
      <c r="J34" s="200"/>
      <c r="K34" s="209"/>
      <c r="L34" s="210"/>
      <c r="M34" s="211"/>
      <c r="N34" s="209"/>
      <c r="O34" s="209"/>
      <c r="P34" s="209"/>
      <c r="Q34" s="210"/>
      <c r="R34" s="212"/>
      <c r="S34" s="134">
        <v>2</v>
      </c>
      <c r="T34" s="54" t="s">
        <v>333</v>
      </c>
      <c r="U34" s="118" t="str">
        <f t="shared" si="29"/>
        <v>Probabilidad</v>
      </c>
      <c r="V34" s="64" t="s">
        <v>13</v>
      </c>
      <c r="W34" s="64" t="s">
        <v>8</v>
      </c>
      <c r="X34" s="60" t="str">
        <f t="shared" ref="X34" si="34">IF(AND(V34="Preventivo",W34="Automático"),"50%",IF(AND(V34="Preventivo",W34="Manual"),"40%",IF(AND(V34="Detectivo",W34="Automático"),"40%",IF(AND(V34="Detectivo",W34="Manual"),"30%",IF(AND(V34="Correctivo",W34="Automático"),"35%",IF(AND(V34="Correctivo",W34="Manual"),"25%",""))))))</f>
        <v>40%</v>
      </c>
      <c r="Y34" s="64" t="s">
        <v>18</v>
      </c>
      <c r="Z34" s="64" t="s">
        <v>21</v>
      </c>
      <c r="AA34" s="64" t="s">
        <v>88</v>
      </c>
      <c r="AB34" s="54" t="s">
        <v>334</v>
      </c>
      <c r="AC34" s="119">
        <f>IFERROR(IF(AND(U33="Probabilidad",U34="Probabilidad"),(AE33-(+AE33*X34)),IF(U34="Probabilidad",(L33-(+L33*X34)),IF(U34="Impacto",AE33,""))),"")</f>
        <v>0.14399999999999999</v>
      </c>
      <c r="AD34" s="61" t="str">
        <f t="shared" ref="AD34" si="35">IFERROR(IF(AC34="","",IF(AC34&lt;=0.2,"Muy Baja",IF(AC34&lt;=0.4,"Baja",IF(AC34&lt;=0.6,"Media",IF(AC34&lt;=0.8,"Alta","Muy Alta"))))),"")</f>
        <v>Muy Baja</v>
      </c>
      <c r="AE34" s="60">
        <f t="shared" ref="AE34" si="36">+AC34</f>
        <v>0.14399999999999999</v>
      </c>
      <c r="AF34" s="61" t="str">
        <f t="shared" ref="AF34" si="37">IFERROR(IF(AG34="","",IF(AG34&lt;=0.2,"Leve",IF(AG34&lt;=0.4,"Menor",IF(AG34&lt;=0.6,"Moderado",IF(AG34&lt;=0.8,"Mayor","Catastrófico"))))),"")</f>
        <v>Mayor</v>
      </c>
      <c r="AG34" s="60">
        <f>IFERROR(IF(AND(U33="Impacto",U34="Impacto"),(AG33-(+AG33*X34)),IF(U34="Impacto",($P$12-(+$P$12*X34)),IF(U34="Probabilidad",AG33,""))),"")</f>
        <v>0.8</v>
      </c>
      <c r="AH34" s="62" t="str">
        <f t="shared" ref="AH34" si="38">IFERROR(IF(OR(AND(AD34="Muy Baja",AF34="Leve"),AND(AD34="Muy Baja",AF34="Menor"),AND(AD34="Baja",AF34="Leve")),"Bajo",IF(OR(AND(AD34="Muy baja",AF34="Moderado"),AND(AD34="Baja",AF34="Menor"),AND(AD34="Baja",AF34="Moderado"),AND(AD34="Media",AF34="Leve"),AND(AD34="Media",AF34="Menor"),AND(AD34="Media",AF34="Moderado"),AND(AD34="Alta",AF34="Leve"),AND(AD34="Alta",AF34="Menor")),"Moderado",IF(OR(AND(AD34="Muy Baja",AF34="Mayor"),AND(AD34="Baja",AF34="Mayor"),AND(AD34="Media",AF34="Mayor"),AND(AD34="Alta",AF34="Moderado"),AND(AD34="Alta",AF34="Mayor"),AND(AD34="Muy Alta",AF34="Leve"),AND(AD34="Muy Alta",AF34="Menor"),AND(AD34="Muy Alta",AF34="Moderado"),AND(AD34="Muy Alta",AF34="Mayor")),"Alto",IF(OR(AND(AD34="Muy Baja",AF34="Catastrófico"),AND(AD34="Baja",AF34="Catastrófico"),AND(AD34="Media",AF34="Catastrófico"),AND(AD34="Alta",AF34="Catastrófico"),AND(AD34="Muy Alta",AF34="Catastrófico")),"Extremo","")))),"")</f>
        <v>Alto</v>
      </c>
      <c r="AI34" s="219"/>
      <c r="AJ34" s="214"/>
      <c r="AK34" s="205"/>
      <c r="AL34" s="205"/>
      <c r="AM34" s="215"/>
      <c r="AN34" s="216"/>
      <c r="AO34" s="205"/>
      <c r="AP34" s="203"/>
    </row>
    <row r="35" spans="1:42" ht="125.25" customHeight="1" x14ac:dyDescent="0.2">
      <c r="A35" s="201" t="s">
        <v>339</v>
      </c>
      <c r="B35" s="415">
        <v>17</v>
      </c>
      <c r="C35" s="207" t="s">
        <v>99</v>
      </c>
      <c r="D35" s="207"/>
      <c r="E35" s="207" t="s">
        <v>295</v>
      </c>
      <c r="F35" s="208" t="s">
        <v>364</v>
      </c>
      <c r="G35" s="207" t="s">
        <v>97</v>
      </c>
      <c r="H35" s="207" t="s">
        <v>337</v>
      </c>
      <c r="I35" s="204" t="s">
        <v>357</v>
      </c>
      <c r="J35" s="200">
        <f>20*3</f>
        <v>60</v>
      </c>
      <c r="K35" s="209" t="str">
        <f>IF(J35&lt;=0,"",IF(J35&lt;=2,"Muy Baja",IF(J35&lt;=24,"Baja",IF(J35&lt;=500,"Media",IF(J35&lt;=5000,"Alta","Muy Alta")))))</f>
        <v>Media</v>
      </c>
      <c r="L35" s="210">
        <f>IF(K35="","",IF(K35="Muy Baja",0.2,IF(K35="Baja",0.4,IF(K35="Media",0.6,IF(K35="Alta",0.8,IF(K35="Muy Alta",1,))))))</f>
        <v>0.6</v>
      </c>
      <c r="M35" s="211" t="str">
        <f>'[12]Mapa final'!K10</f>
        <v>Catastrófico</v>
      </c>
      <c r="N35" s="209">
        <f>'[12]Mapa final'!L10</f>
        <v>20</v>
      </c>
      <c r="O35" s="217" t="str">
        <f>'[12]Mapa final'!M10</f>
        <v>Catastrófico</v>
      </c>
      <c r="P35" s="209">
        <f>'[12]Mapa final'!N10</f>
        <v>20</v>
      </c>
      <c r="Q35" s="210">
        <f>'[12]Mapa final'!O10</f>
        <v>1</v>
      </c>
      <c r="R35" s="218" t="str">
        <f>'[12]Mapa final'!P10</f>
        <v>Extremo</v>
      </c>
      <c r="S35" s="134">
        <v>1</v>
      </c>
      <c r="T35" s="124" t="s">
        <v>365</v>
      </c>
      <c r="U35" s="118" t="str">
        <f>IF(OR(V35="Preventivo",V35="Detectivo"),"Probabilidad",IF(V35="Correctivo","Impacto",""))</f>
        <v>Probabilidad</v>
      </c>
      <c r="V35" s="64" t="s">
        <v>13</v>
      </c>
      <c r="W35" s="64" t="s">
        <v>8</v>
      </c>
      <c r="X35" s="60" t="str">
        <f>IF(AND(V35="Preventivo",W35="Automático"),"50%",IF(AND(V35="Preventivo",W35="Manual"),"40%",IF(AND(V35="Detectivo",W35="Automático"),"40%",IF(AND(V35="Detectivo",W35="Manual"),"30%",IF(AND(V35="Correctivo",W35="Automático"),"35%",IF(AND(V35="Correctivo",W35="Manual"),"25%",""))))))</f>
        <v>40%</v>
      </c>
      <c r="Y35" s="64" t="s">
        <v>18</v>
      </c>
      <c r="Z35" s="64" t="s">
        <v>21</v>
      </c>
      <c r="AA35" s="64" t="s">
        <v>88</v>
      </c>
      <c r="AB35" s="54" t="s">
        <v>298</v>
      </c>
      <c r="AC35" s="119">
        <f>IFERROR(IF(U35="Probabilidad",(L35-(+L35*X35)),IF(U35="Impacto",L35,"")),"")</f>
        <v>0.36</v>
      </c>
      <c r="AD35" s="61" t="str">
        <f>IFERROR(IF(AC35="","",IF(AC35&lt;=0.2,"Muy Baja",IF(AC35&lt;=0.4,"Baja",IF(AC35&lt;=0.6,"Media",IF(AC35&lt;=0.8,"Alta","Muy Alta"))))),"")</f>
        <v>Baja</v>
      </c>
      <c r="AE35" s="60">
        <f>+AC35</f>
        <v>0.36</v>
      </c>
      <c r="AF35" s="61" t="str">
        <f>IFERROR(IF(AG35="","",IF(AG35&lt;=0.2,"Leve",IF(AG35&lt;=0.4,"Menor",IF(AG35&lt;=0.6,"Moderado",IF(AG35&lt;=0.8,"Mayor","Catastrófico"))))),"")</f>
        <v>Catastrófico</v>
      </c>
      <c r="AG35" s="60">
        <f>IFERROR(IF(U35="Impacto",(Q35-(+Q35*X35)),IF(U35="Probabilidad",Q35,"")),"")</f>
        <v>1</v>
      </c>
      <c r="AH35" s="62" t="str">
        <f>IFERROR(IF(OR(AND(AD35="Muy Baja",AF35="Leve"),AND(AD35="Muy Baja",AF35="Menor"),AND(AD35="Baja",AF35="Leve")),"Bajo",IF(OR(AND(AD35="Muy baja",AF35="Moderado"),AND(AD35="Baja",AF35="Menor"),AND(AD35="Baja",AF35="Moderado"),AND(AD35="Media",AF35="Leve"),AND(AD35="Media",AF35="Menor"),AND(AD35="Media",AF35="Moderado"),AND(AD35="Alta",AF35="Leve"),AND(AD35="Alta",AF35="Menor")),"Moderado",IF(OR(AND(AD35="Muy Baja",AF35="Mayor"),AND(AD35="Baja",AF35="Mayor"),AND(AD35="Media",AF35="Mayor"),AND(AD35="Alta",AF35="Moderado"),AND(AD35="Alta",AF35="Mayor"),AND(AD35="Muy Alta",AF35="Leve"),AND(AD35="Muy Alta",AF35="Menor"),AND(AD35="Muy Alta",AF35="Moderado"),AND(AD35="Muy Alta",AF35="Mayor")),"Alto",IF(OR(AND(AD35="Muy Baja",AF35="Catastrófico"),AND(AD35="Baja",AF35="Catastrófico"),AND(AD35="Media",AF35="Catastrófico"),AND(AD35="Alta",AF35="Catastrófico"),AND(AD35="Muy Alta",AF35="Catastrófico")),"Extremo","")))),"")</f>
        <v>Extremo</v>
      </c>
      <c r="AI35" s="213" t="str">
        <f>IFERROR(IF(OR(AND(AD36="Muy Baja",AF36="Leve"),AND(AD36="Muy Baja",AF36="Menor"),AND(AD36="Baja",AF36="Leve")),"Bajo",IF(OR(AND(AD36="Muy baja",AF36="Moderado"),AND(AD36="Baja",AF36="Menor"),AND(AD36="Baja",AF36="Moderado"),AND(AD36="Media",AF36="Leve"),AND(AD36="Media",AF36="Menor"),AND(AD36="Media",AF36="Moderado"),AND(AD36="Alta",AF36="Leve"),AND(AD36="Alta",AF36="Menor")),"Moderado",IF(OR(AND(AD36="Muy Baja",AF36="Mayor"),AND(AD36="Baja",AF36="Mayor"),AND(AD36="Media",AF36="Mayor"),AND(AD36="Alta",AF36="Moderado"),AND(AD36="Alta",AF36="Mayor"),AND(AD36="Muy Alta",AF36="Leve"),AND(AD36="Muy Alta",AF36="Menor"),AND(AD36="Muy Alta",AF36="Moderado"),AND(AD36="Muy Alta",AF36="Mayor")),"Alto",IF(OR(AND(AD36="Muy Baja",AF36="Catastrófico"),AND(AD36="Baja",AF36="Catastrófico"),AND(AD36="Media",AF36="Catastrófico"),AND(AD36="Alta",AF36="Catastrófico"),AND(AD36="Muy Alta",AF36="Catastrófico")),"Extremo","")))),"")</f>
        <v>Extremo</v>
      </c>
      <c r="AJ35" s="214" t="s">
        <v>103</v>
      </c>
      <c r="AK35" s="207" t="s">
        <v>299</v>
      </c>
      <c r="AL35" s="207" t="s">
        <v>367</v>
      </c>
      <c r="AM35" s="215" t="s">
        <v>301</v>
      </c>
      <c r="AN35" s="216" t="s">
        <v>246</v>
      </c>
      <c r="AO35" s="207" t="s">
        <v>302</v>
      </c>
      <c r="AP35" s="200" t="s">
        <v>39</v>
      </c>
    </row>
    <row r="36" spans="1:42" ht="117" customHeight="1" x14ac:dyDescent="0.2">
      <c r="A36" s="201"/>
      <c r="B36" s="417"/>
      <c r="C36" s="207"/>
      <c r="D36" s="207"/>
      <c r="E36" s="207"/>
      <c r="F36" s="208"/>
      <c r="G36" s="207"/>
      <c r="H36" s="207"/>
      <c r="I36" s="205"/>
      <c r="J36" s="200"/>
      <c r="K36" s="209"/>
      <c r="L36" s="210"/>
      <c r="M36" s="211"/>
      <c r="N36" s="209"/>
      <c r="O36" s="209"/>
      <c r="P36" s="209"/>
      <c r="Q36" s="210"/>
      <c r="R36" s="212"/>
      <c r="S36" s="134">
        <v>2</v>
      </c>
      <c r="T36" s="54" t="s">
        <v>366</v>
      </c>
      <c r="U36" s="118" t="str">
        <f t="shared" ref="U36:U37" si="39">IF(OR(V36="Preventivo",V36="Detectivo"),"Probabilidad",IF(V36="Correctivo","Impacto",""))</f>
        <v>Probabilidad</v>
      </c>
      <c r="V36" s="64" t="s">
        <v>13</v>
      </c>
      <c r="W36" s="64" t="s">
        <v>8</v>
      </c>
      <c r="X36" s="60" t="str">
        <f>IF(AND(V36="Preventivo",W36="Automático"),"50%",IF(AND(V36="Preventivo",W36="Manual"),"40%",IF(AND(V36="Detectivo",W36="Automático"),"40%",IF(AND(V36="Detectivo",W36="Manual"),"30%",IF(AND(V36="Correctivo",W36="Automático"),"35%",IF(AND(V36="Correctivo",W36="Manual"),"25%",""))))))</f>
        <v>40%</v>
      </c>
      <c r="Y36" s="64" t="s">
        <v>18</v>
      </c>
      <c r="Z36" s="64" t="s">
        <v>21</v>
      </c>
      <c r="AA36" s="64" t="s">
        <v>88</v>
      </c>
      <c r="AB36" s="54" t="s">
        <v>338</v>
      </c>
      <c r="AC36" s="119">
        <f>IFERROR(IF(AND(U35="Probabilidad",U36="Probabilidad"),(AE35-(+AE35*X36)),IF(U36="Probabilidad",(L35-(+L35*X36)),IF(U36="Impacto",AE35,""))),"")</f>
        <v>0.216</v>
      </c>
      <c r="AD36" s="61" t="str">
        <f t="shared" ref="AD36" si="40">IFERROR(IF(AC36="","",IF(AC36&lt;=0.2,"Muy Baja",IF(AC36&lt;=0.4,"Baja",IF(AC36&lt;=0.6,"Media",IF(AC36&lt;=0.8,"Alta","Muy Alta"))))),"")</f>
        <v>Baja</v>
      </c>
      <c r="AE36" s="60">
        <f t="shared" ref="AE36" si="41">+AC36</f>
        <v>0.216</v>
      </c>
      <c r="AF36" s="61" t="str">
        <f t="shared" ref="AF36" si="42">IFERROR(IF(AG36="","",IF(AG36&lt;=0.2,"Leve",IF(AG36&lt;=0.4,"Menor",IF(AG36&lt;=0.6,"Moderado",IF(AG36&lt;=0.8,"Mayor","Catastrófico"))))),"")</f>
        <v>Catastrófico</v>
      </c>
      <c r="AG36" s="60">
        <f>IFERROR(IF(AND(U35="Impacto",U36="Impacto"),(AG35-(+AG35*X36)),IF(U36="Impacto",($P$9-(+$P$9*X36)),IF(U36="Probabilidad",AG35,""))),"")</f>
        <v>1</v>
      </c>
      <c r="AH36" s="62" t="str">
        <f>IFERROR(IF(OR(AND(AD36="Muy Baja",AF36="Leve"),AND(AD36="Muy Baja",AF36="Menor"),AND(AD36="Baja",AF36="Leve")),"Bajo",IF(OR(AND(AD36="Muy baja",AF36="Moderado"),AND(AD36="Baja",AF36="Menor"),AND(AD36="Baja",AF36="Moderado"),AND(AD36="Media",AF36="Leve"),AND(AD36="Media",AF36="Menor"),AND(AD36="Media",AF36="Moderado"),AND(AD36="Alta",AF36="Leve"),AND(AD36="Alta",AF36="Menor")),"Moderado",IF(OR(AND(AD36="Muy Baja",AF36="Mayor"),AND(AD36="Baja",AF36="Mayor"),AND(AD36="Media",AF36="Mayor"),AND(AD36="Alta",AF36="Moderado"),AND(AD36="Alta",AF36="Mayor"),AND(AD36="Muy Alta",AF36="Leve"),AND(AD36="Muy Alta",AF36="Menor"),AND(AD36="Muy Alta",AF36="Moderado"),AND(AD36="Muy Alta",AF36="Mayor")),"Alto",IF(OR(AND(AD36="Muy Baja",AF36="Catastrófico"),AND(AD36="Baja",AF36="Catastrófico"),AND(AD36="Media",AF36="Catastrófico"),AND(AD36="Alta",AF36="Catastrófico"),AND(AD36="Muy Alta",AF36="Catastrófico")),"Extremo","")))),"")</f>
        <v>Extremo</v>
      </c>
      <c r="AI36" s="213"/>
      <c r="AJ36" s="214"/>
      <c r="AK36" s="207"/>
      <c r="AL36" s="207"/>
      <c r="AM36" s="215"/>
      <c r="AN36" s="216"/>
      <c r="AO36" s="207"/>
      <c r="AP36" s="200"/>
    </row>
    <row r="37" spans="1:42" ht="140.25" x14ac:dyDescent="0.2">
      <c r="A37" s="131" t="s">
        <v>342</v>
      </c>
      <c r="B37" s="152">
        <v>18</v>
      </c>
      <c r="C37" s="131" t="s">
        <v>101</v>
      </c>
      <c r="D37" s="138"/>
      <c r="E37" s="131" t="s">
        <v>340</v>
      </c>
      <c r="F37" s="128" t="s">
        <v>341</v>
      </c>
      <c r="G37" s="131" t="s">
        <v>94</v>
      </c>
      <c r="H37" s="131" t="s">
        <v>342</v>
      </c>
      <c r="I37" s="131" t="s">
        <v>357</v>
      </c>
      <c r="J37" s="132">
        <v>23</v>
      </c>
      <c r="K37" s="133" t="str">
        <f>IF(J37&lt;=0,"",IF(J37&lt;=2,"Muy Baja",IF(J37&lt;=24,"Baja",IF(J37&lt;=500,"Media",IF(J37&lt;=5000,"Alta","Muy Alta")))))</f>
        <v>Baja</v>
      </c>
      <c r="L37" s="129">
        <f>IF(K37="","",IF(K37="Muy Baja",0.2,IF(K37="Baja",0.4,IF(K37="Media",0.6,IF(K37="Alta",0.8,IF(K37="Muy Alta",1,))))))</f>
        <v>0.4</v>
      </c>
      <c r="M37" s="139" t="str">
        <f>'[13]Mapa final'!K10</f>
        <v>Catastrófico</v>
      </c>
      <c r="N37" s="133">
        <f>'[13]Mapa final'!L10</f>
        <v>20</v>
      </c>
      <c r="O37" s="140" t="str">
        <f>'[13]Mapa final'!M10</f>
        <v>Catastrófico</v>
      </c>
      <c r="P37" s="133">
        <f>'[13]Mapa final'!N10</f>
        <v>20</v>
      </c>
      <c r="Q37" s="129">
        <f>'[13]Mapa final'!O10</f>
        <v>1</v>
      </c>
      <c r="R37" s="142" t="str">
        <f>'[13]Mapa final'!P10</f>
        <v>Extremo</v>
      </c>
      <c r="S37" s="134">
        <v>1</v>
      </c>
      <c r="T37" s="54" t="s">
        <v>343</v>
      </c>
      <c r="U37" s="118" t="str">
        <f t="shared" si="39"/>
        <v>Probabilidad</v>
      </c>
      <c r="V37" s="64" t="s">
        <v>13</v>
      </c>
      <c r="W37" s="64" t="s">
        <v>8</v>
      </c>
      <c r="X37" s="60" t="str">
        <f>IF(AND(V37="Preventivo",W37="Automático"),"50%",IF(AND(V37="Preventivo",W37="Manual"),"40%",IF(AND(V37="Detectivo",W37="Automático"),"40%",IF(AND(V37="Detectivo",W37="Manual"),"30%",IF(AND(V37="Correctivo",W37="Automático"),"35%",IF(AND(V37="Correctivo",W37="Manual"),"25%",""))))))</f>
        <v>40%</v>
      </c>
      <c r="Y37" s="64" t="s">
        <v>18</v>
      </c>
      <c r="Z37" s="64" t="s">
        <v>21</v>
      </c>
      <c r="AA37" s="64" t="s">
        <v>88</v>
      </c>
      <c r="AB37" s="54" t="s">
        <v>344</v>
      </c>
      <c r="AC37" s="119">
        <f>IFERROR(IF(U37="Probabilidad",(L37-(+L37*X37)),IF(U37="Impacto",L37,"")),"")</f>
        <v>0.24</v>
      </c>
      <c r="AD37" s="61" t="str">
        <f>IFERROR(IF(AC37="","",IF(AC37&lt;=0.2,"Muy Baja",IF(AC37&lt;=0.4,"Baja",IF(AC37&lt;=0.6,"Media",IF(AC37&lt;=0.8,"Alta","Muy Alta"))))),"")</f>
        <v>Baja</v>
      </c>
      <c r="AE37" s="60">
        <f>+AC37</f>
        <v>0.24</v>
      </c>
      <c r="AF37" s="61" t="str">
        <f>IFERROR(IF(AG37="","",IF(AG37&lt;=0.2,"Leve",IF(AG37&lt;=0.4,"Menor",IF(AG37&lt;=0.6,"Moderado",IF(AG37&lt;=0.8,"Mayor","Catastrófico"))))),"")</f>
        <v>Catastrófico</v>
      </c>
      <c r="AG37" s="60">
        <f>IFERROR(IF(U37="Impacto",(Q37-(+Q37*X37)),IF(U37="Probabilidad",Q37,"")),"")</f>
        <v>1</v>
      </c>
      <c r="AH37" s="62" t="str">
        <f>IFERROR(IF(OR(AND(AD37="Muy Baja",AF37="Leve"),AND(AD37="Muy Baja",AF37="Menor"),AND(AD37="Baja",AF37="Leve")),"Bajo",IF(OR(AND(AD37="Muy baja",AF37="Moderado"),AND(AD37="Baja",AF37="Menor"),AND(AD37="Baja",AF37="Moderado"),AND(AD37="Media",AF37="Leve"),AND(AD37="Media",AF37="Menor"),AND(AD37="Media",AF37="Moderado"),AND(AD37="Alta",AF37="Leve"),AND(AD37="Alta",AF37="Menor")),"Moderado",IF(OR(AND(AD37="Muy Baja",AF37="Mayor"),AND(AD37="Baja",AF37="Mayor"),AND(AD37="Media",AF37="Mayor"),AND(AD37="Alta",AF37="Moderado"),AND(AD37="Alta",AF37="Mayor"),AND(AD37="Muy Alta",AF37="Leve"),AND(AD37="Muy Alta",AF37="Menor"),AND(AD37="Muy Alta",AF37="Moderado"),AND(AD37="Muy Alta",AF37="Mayor")),"Alto",IF(OR(AND(AD37="Muy Baja",AF37="Catastrófico"),AND(AD37="Baja",AF37="Catastrófico"),AND(AD37="Media",AF37="Catastrófico"),AND(AD37="Alta",AF37="Catastrófico"),AND(AD37="Muy Alta",AF37="Catastrófico")),"Extremo","")))),"")</f>
        <v>Extremo</v>
      </c>
      <c r="AI37" s="62" t="str">
        <f>$AH$37</f>
        <v>Extremo</v>
      </c>
      <c r="AJ37" s="64" t="s">
        <v>31</v>
      </c>
      <c r="AK37" s="131" t="s">
        <v>253</v>
      </c>
      <c r="AL37" s="131" t="s">
        <v>253</v>
      </c>
      <c r="AM37" s="131" t="s">
        <v>253</v>
      </c>
      <c r="AN37" s="131" t="s">
        <v>253</v>
      </c>
      <c r="AO37" s="131" t="s">
        <v>253</v>
      </c>
      <c r="AP37" s="131" t="s">
        <v>253</v>
      </c>
    </row>
    <row r="38" spans="1:42" ht="156" customHeight="1" x14ac:dyDescent="0.2">
      <c r="A38" s="201" t="s">
        <v>347</v>
      </c>
      <c r="B38" s="413">
        <v>19</v>
      </c>
      <c r="C38" s="207" t="s">
        <v>99</v>
      </c>
      <c r="D38" s="207"/>
      <c r="E38" s="207" t="s">
        <v>295</v>
      </c>
      <c r="F38" s="208" t="s">
        <v>336</v>
      </c>
      <c r="G38" s="207" t="s">
        <v>97</v>
      </c>
      <c r="H38" s="207" t="s">
        <v>345</v>
      </c>
      <c r="I38" s="204" t="s">
        <v>357</v>
      </c>
      <c r="J38" s="200">
        <v>60</v>
      </c>
      <c r="K38" s="209" t="str">
        <f>IF(J38&lt;=0,"",IF(J38&lt;=2,"Muy Baja",IF(J38&lt;=24,"Baja",IF(J38&lt;=500,"Media",IF(J38&lt;=5000,"Alta","Muy Alta")))))</f>
        <v>Media</v>
      </c>
      <c r="L38" s="210">
        <f>IF(K38="","",IF(K38="Muy Baja",0.2,IF(K38="Baja",0.4,IF(K38="Media",0.6,IF(K38="Alta",0.8,IF(K38="Muy Alta",1,))))))</f>
        <v>0.6</v>
      </c>
      <c r="M38" s="211" t="str">
        <f>'[14]Mapa final'!K10</f>
        <v>Catastrófico</v>
      </c>
      <c r="N38" s="209">
        <f>+IF(M38="Moderado",5,IF(M38="Mayor",10,IF(M38="Catastrófico",20,"")))</f>
        <v>20</v>
      </c>
      <c r="O38" s="209" t="str">
        <f>IF(NOT(ISERROR(MATCH(M38,#REF!,0))),#REF!&amp;"Por favor no seleccionar los criterios de impacto(Afectación Económica o presupuestal y Pérdida Reputacional)",M38)</f>
        <v>Catastrófico</v>
      </c>
      <c r="P38" s="209">
        <f>+IF(M38="Moderado",5,IF(M38="Mayor",10,IF(M38="Catastrófico",20,"")))</f>
        <v>20</v>
      </c>
      <c r="Q38" s="210">
        <f>IF(O38="","",IF(O38="Moderado",0.6,IF(O38="Mayor",0.8,IF(O38="Catastrófico",1,))))</f>
        <v>1</v>
      </c>
      <c r="R38" s="212" t="str">
        <f>IF(OR(AND(K38="Muy Baja",O38="Leve"),AND(K38="Muy Baja",O38="Menor"),AND(K38="Baja",O38="Leve")),"Bajo",IF(OR(AND(K38="Muy baja",O38="Moderado"),AND(K38="Baja",O38="Menor"),AND(K38="Baja",O38="Moderado"),AND(K38="Media",O38="Leve"),AND(K38="Media",O38="Menor"),AND(K38="Media",O38="Moderado"),AND(K38="Alta",O38="Leve"),AND(K38="Alta",O38="Menor")),"Moderado",IF(OR(AND(K38="Muy Baja",O38="Mayor"),AND(K38="Baja",O38="Mayor"),AND(K38="Media",O38="Mayor"),AND(K38="Alta",O38="Moderado"),AND(K38="Alta",O38="Mayor"),AND(K38="Muy Alta",O38="Leve"),AND(K38="Muy Alta",O38="Menor"),AND(K38="Muy Alta",O38="Moderado"),AND(K38="Muy Alta",O38="Mayor")),"Alto",IF(OR(AND(K38="Muy Baja",O38="Catastrófico"),AND(K38="Baja",O38="Catastrófico"),AND(K38="Media",O38="Catastrófico"),AND(K38="Alta",O38="Catastrófico"),AND(K38="Muy Alta",O38="Catastrófico")),"Extremo",""))))</f>
        <v>Extremo</v>
      </c>
      <c r="S38" s="134">
        <v>1</v>
      </c>
      <c r="T38" s="124" t="s">
        <v>369</v>
      </c>
      <c r="U38" s="118" t="str">
        <f>IF(OR(V38="Preventivo",V38="Detectivo"),"Probabilidad",IF(V38="Correctivo","Impacto",""))</f>
        <v>Probabilidad</v>
      </c>
      <c r="V38" s="64" t="s">
        <v>13</v>
      </c>
      <c r="W38" s="64" t="s">
        <v>8</v>
      </c>
      <c r="X38" s="60" t="str">
        <f>IF(AND(V38="Preventivo",W38="Automático"),"50%",IF(AND(V38="Preventivo",W38="Manual"),"40%",IF(AND(V38="Detectivo",W38="Automático"),"40%",IF(AND(V38="Detectivo",W38="Manual"),"30%",IF(AND(V38="Correctivo",W38="Automático"),"35%",IF(AND(V38="Correctivo",W38="Manual"),"25%",""))))))</f>
        <v>40%</v>
      </c>
      <c r="Y38" s="64" t="s">
        <v>18</v>
      </c>
      <c r="Z38" s="64" t="s">
        <v>21</v>
      </c>
      <c r="AA38" s="64" t="s">
        <v>88</v>
      </c>
      <c r="AB38" s="54" t="s">
        <v>298</v>
      </c>
      <c r="AC38" s="119">
        <f>IFERROR(IF(U38="Probabilidad",(L38-(+L38*X38)),IF(U38="Impacto",L38,"")),"")</f>
        <v>0.36</v>
      </c>
      <c r="AD38" s="61" t="str">
        <f>IFERROR(IF(AC38="","",IF(AC38&lt;=0.2,"Muy Baja",IF(AC38&lt;=0.4,"Baja",IF(AC38&lt;=0.6,"Media",IF(AC38&lt;=0.8,"Alta","Muy Alta"))))),"")</f>
        <v>Baja</v>
      </c>
      <c r="AE38" s="60">
        <f>+AC38</f>
        <v>0.36</v>
      </c>
      <c r="AF38" s="61" t="str">
        <f>IFERROR(IF(AG38="","",IF(AG38&lt;=0.2,"Leve",IF(AG38&lt;=0.4,"Menor",IF(AG38&lt;=0.6,"Moderado",IF(AG38&lt;=0.8,"Mayor","Catastrófico"))))),"")</f>
        <v>Catastrófico</v>
      </c>
      <c r="AG38" s="60">
        <f>IFERROR(IF(U38="Impacto",(Q38-(+Q38*X38)),IF(U38="Probabilidad",Q38,"")),"")</f>
        <v>1</v>
      </c>
      <c r="AH38" s="62" t="str">
        <f>IFERROR(IF(OR(AND(AD38="Muy Baja",AF38="Leve"),AND(AD38="Muy Baja",AF38="Menor"),AND(AD38="Baja",AF38="Leve")),"Bajo",IF(OR(AND(AD38="Muy baja",AF38="Moderado"),AND(AD38="Baja",AF38="Menor"),AND(AD38="Baja",AF38="Moderado"),AND(AD38="Media",AF38="Leve"),AND(AD38="Media",AF38="Menor"),AND(AD38="Media",AF38="Moderado"),AND(AD38="Alta",AF38="Leve"),AND(AD38="Alta",AF38="Menor")),"Moderado",IF(OR(AND(AD38="Muy Baja",AF38="Mayor"),AND(AD38="Baja",AF38="Mayor"),AND(AD38="Media",AF38="Mayor"),AND(AD38="Alta",AF38="Moderado"),AND(AD38="Alta",AF38="Mayor"),AND(AD38="Muy Alta",AF38="Leve"),AND(AD38="Muy Alta",AF38="Menor"),AND(AD38="Muy Alta",AF38="Moderado"),AND(AD38="Muy Alta",AF38="Mayor")),"Alto",IF(OR(AND(AD38="Muy Baja",AF38="Catastrófico"),AND(AD38="Baja",AF38="Catastrófico"),AND(AD38="Media",AF38="Catastrófico"),AND(AD38="Alta",AF38="Catastrófico"),AND(AD38="Muy Alta",AF38="Catastrófico")),"Extremo","")))),"")</f>
        <v>Extremo</v>
      </c>
      <c r="AI38" s="213" t="str">
        <f>IFERROR(IF(OR(AND(AD39="Muy Baja",AF39="Leve"),AND(AD39="Muy Baja",AF39="Menor"),AND(AD39="Baja",AF39="Leve")),"Bajo",IF(OR(AND(AD39="Muy baja",AF39="Moderado"),AND(AD39="Baja",AF39="Menor"),AND(AD39="Baja",AF39="Moderado"),AND(AD39="Media",AF39="Leve"),AND(AD39="Media",AF39="Menor"),AND(AD39="Media",AF39="Moderado"),AND(AD39="Alta",AF39="Leve"),AND(AD39="Alta",AF39="Menor")),"Moderado",IF(OR(AND(AD39="Muy Baja",AF39="Mayor"),AND(AD39="Baja",AF39="Mayor"),AND(AD39="Media",AF39="Mayor"),AND(AD39="Alta",AF39="Moderado"),AND(AD39="Alta",AF39="Mayor"),AND(AD39="Muy Alta",AF39="Leve"),AND(AD39="Muy Alta",AF39="Menor"),AND(AD39="Muy Alta",AF39="Moderado"),AND(AD39="Muy Alta",AF39="Mayor")),"Alto",IF(OR(AND(AD39="Muy Baja",AF39="Catastrófico"),AND(AD39="Baja",AF39="Catastrófico"),AND(AD39="Media",AF39="Catastrófico"),AND(AD39="Alta",AF39="Catastrófico"),AND(AD39="Muy Alta",AF39="Catastrófico")),"Extremo","")))),"")</f>
        <v>Extremo</v>
      </c>
      <c r="AJ38" s="214" t="s">
        <v>103</v>
      </c>
      <c r="AK38" s="207" t="s">
        <v>299</v>
      </c>
      <c r="AL38" s="207" t="s">
        <v>300</v>
      </c>
      <c r="AM38" s="215" t="s">
        <v>301</v>
      </c>
      <c r="AN38" s="216" t="s">
        <v>246</v>
      </c>
      <c r="AO38" s="207" t="s">
        <v>302</v>
      </c>
      <c r="AP38" s="200" t="s">
        <v>39</v>
      </c>
    </row>
    <row r="39" spans="1:42" ht="110.25" customHeight="1" x14ac:dyDescent="0.2">
      <c r="A39" s="201"/>
      <c r="B39" s="417"/>
      <c r="C39" s="207"/>
      <c r="D39" s="207"/>
      <c r="E39" s="207"/>
      <c r="F39" s="208"/>
      <c r="G39" s="207"/>
      <c r="H39" s="207"/>
      <c r="I39" s="205"/>
      <c r="J39" s="200"/>
      <c r="K39" s="209"/>
      <c r="L39" s="210"/>
      <c r="M39" s="211"/>
      <c r="N39" s="209"/>
      <c r="O39" s="209"/>
      <c r="P39" s="209"/>
      <c r="Q39" s="210"/>
      <c r="R39" s="212"/>
      <c r="S39" s="134">
        <v>2</v>
      </c>
      <c r="T39" s="54" t="s">
        <v>370</v>
      </c>
      <c r="U39" s="118" t="str">
        <f t="shared" ref="U39" si="43">IF(OR(V39="Preventivo",V39="Detectivo"),"Probabilidad",IF(V39="Correctivo","Impacto",""))</f>
        <v>Probabilidad</v>
      </c>
      <c r="V39" s="64" t="s">
        <v>13</v>
      </c>
      <c r="W39" s="64" t="s">
        <v>8</v>
      </c>
      <c r="X39" s="60" t="str">
        <f>IF(AND(V39="Preventivo",W39="Automático"),"50%",IF(AND(V39="Preventivo",W39="Manual"),"40%",IF(AND(V39="Detectivo",W39="Automático"),"40%",IF(AND(V39="Detectivo",W39="Manual"),"30%",IF(AND(V39="Correctivo",W39="Automático"),"35%",IF(AND(V39="Correctivo",W39="Manual"),"25%",""))))))</f>
        <v>40%</v>
      </c>
      <c r="Y39" s="64" t="s">
        <v>18</v>
      </c>
      <c r="Z39" s="64" t="s">
        <v>21</v>
      </c>
      <c r="AA39" s="64" t="s">
        <v>88</v>
      </c>
      <c r="AB39" s="54" t="s">
        <v>346</v>
      </c>
      <c r="AC39" s="119">
        <f>IFERROR(IF(AND(U38="Probabilidad",U39="Probabilidad"),(AE38-(+AE38*X39)),IF(U39="Probabilidad",(L38-(+L38*X39)),IF(U39="Impacto",AE38,""))),"")</f>
        <v>0.216</v>
      </c>
      <c r="AD39" s="61" t="str">
        <f t="shared" ref="AD39" si="44">IFERROR(IF(AC39="","",IF(AC39&lt;=0.2,"Muy Baja",IF(AC39&lt;=0.4,"Baja",IF(AC39&lt;=0.6,"Media",IF(AC39&lt;=0.8,"Alta","Muy Alta"))))),"")</f>
        <v>Baja</v>
      </c>
      <c r="AE39" s="60">
        <f t="shared" ref="AE39" si="45">+AC39</f>
        <v>0.216</v>
      </c>
      <c r="AF39" s="61" t="str">
        <f t="shared" ref="AF39" si="46">IFERROR(IF(AG39="","",IF(AG39&lt;=0.2,"Leve",IF(AG39&lt;=0.4,"Menor",IF(AG39&lt;=0.6,"Moderado",IF(AG39&lt;=0.8,"Mayor","Catastrófico"))))),"")</f>
        <v>Catastrófico</v>
      </c>
      <c r="AG39" s="60">
        <f>IFERROR(IF(AND(U38="Impacto",U39="Impacto"),(AG38-(+AG38*X39)),IF(U39="Impacto",($P$9-(+$P$9*X39)),IF(U39="Probabilidad",AG38,""))),"")</f>
        <v>1</v>
      </c>
      <c r="AH39" s="62" t="str">
        <f>IFERROR(IF(OR(AND(AD39="Muy Baja",AF39="Leve"),AND(AD39="Muy Baja",AF39="Menor"),AND(AD39="Baja",AF39="Leve")),"Bajo",IF(OR(AND(AD39="Muy baja",AF39="Moderado"),AND(AD39="Baja",AF39="Menor"),AND(AD39="Baja",AF39="Moderado"),AND(AD39="Media",AF39="Leve"),AND(AD39="Media",AF39="Menor"),AND(AD39="Media",AF39="Moderado"),AND(AD39="Alta",AF39="Leve"),AND(AD39="Alta",AF39="Menor")),"Moderado",IF(OR(AND(AD39="Muy Baja",AF39="Mayor"),AND(AD39="Baja",AF39="Mayor"),AND(AD39="Media",AF39="Mayor"),AND(AD39="Alta",AF39="Moderado"),AND(AD39="Alta",AF39="Mayor"),AND(AD39="Muy Alta",AF39="Leve"),AND(AD39="Muy Alta",AF39="Menor"),AND(AD39="Muy Alta",AF39="Moderado"),AND(AD39="Muy Alta",AF39="Mayor")),"Alto",IF(OR(AND(AD39="Muy Baja",AF39="Catastrófico"),AND(AD39="Baja",AF39="Catastrófico"),AND(AD39="Media",AF39="Catastrófico"),AND(AD39="Alta",AF39="Catastrófico"),AND(AD39="Muy Alta",AF39="Catastrófico")),"Extremo","")))),"")</f>
        <v>Extremo</v>
      </c>
      <c r="AI39" s="213"/>
      <c r="AJ39" s="214"/>
      <c r="AK39" s="207"/>
      <c r="AL39" s="207"/>
      <c r="AM39" s="215"/>
      <c r="AN39" s="216"/>
      <c r="AO39" s="207"/>
      <c r="AP39" s="200"/>
    </row>
  </sheetData>
  <dataConsolidate/>
  <mergeCells count="293">
    <mergeCell ref="B15:B16"/>
    <mergeCell ref="B33:B34"/>
    <mergeCell ref="J9:J10"/>
    <mergeCell ref="K9:K10"/>
    <mergeCell ref="L9:L10"/>
    <mergeCell ref="AK7:AK8"/>
    <mergeCell ref="AP7:AP8"/>
    <mergeCell ref="AO7:AO8"/>
    <mergeCell ref="AN7:AN8"/>
    <mergeCell ref="Q7:Q8"/>
    <mergeCell ref="AM7:AM8"/>
    <mergeCell ref="AI7:AI8"/>
    <mergeCell ref="AF7:AF8"/>
    <mergeCell ref="AD7:AD8"/>
    <mergeCell ref="AE7:AE8"/>
    <mergeCell ref="J7:J8"/>
    <mergeCell ref="K7:K8"/>
    <mergeCell ref="L7:L8"/>
    <mergeCell ref="M12:M14"/>
    <mergeCell ref="O12:O14"/>
    <mergeCell ref="N7:N8"/>
    <mergeCell ref="N12:N14"/>
    <mergeCell ref="M9:M10"/>
    <mergeCell ref="N9:N10"/>
    <mergeCell ref="O9:O10"/>
    <mergeCell ref="S6:AB6"/>
    <mergeCell ref="V7:AB7"/>
    <mergeCell ref="P7:P8"/>
    <mergeCell ref="U7:U8"/>
    <mergeCell ref="D9:D10"/>
    <mergeCell ref="H12:H14"/>
    <mergeCell ref="E15:E16"/>
    <mergeCell ref="F15:F16"/>
    <mergeCell ref="G15:G16"/>
    <mergeCell ref="E9:E10"/>
    <mergeCell ref="F9:F10"/>
    <mergeCell ref="G9:G10"/>
    <mergeCell ref="H9:H10"/>
    <mergeCell ref="H15:H16"/>
    <mergeCell ref="AK6:AP6"/>
    <mergeCell ref="Q12:Q14"/>
    <mergeCell ref="R12:R14"/>
    <mergeCell ref="A6:J6"/>
    <mergeCell ref="K6:R6"/>
    <mergeCell ref="AC6:AJ6"/>
    <mergeCell ref="G12:G14"/>
    <mergeCell ref="J12:J14"/>
    <mergeCell ref="K12:K14"/>
    <mergeCell ref="L12:L14"/>
    <mergeCell ref="P12:P14"/>
    <mergeCell ref="T7:T8"/>
    <mergeCell ref="P9:P10"/>
    <mergeCell ref="Q9:Q10"/>
    <mergeCell ref="R9:R10"/>
    <mergeCell ref="B9:B10"/>
    <mergeCell ref="C9:C10"/>
    <mergeCell ref="B7:B8"/>
    <mergeCell ref="G7:G8"/>
    <mergeCell ref="F7:F8"/>
    <mergeCell ref="E7:E8"/>
    <mergeCell ref="D7:D8"/>
    <mergeCell ref="AH7:AH8"/>
    <mergeCell ref="C7:C8"/>
    <mergeCell ref="A7:A8"/>
    <mergeCell ref="A9:A10"/>
    <mergeCell ref="AI12:AI14"/>
    <mergeCell ref="AJ12:AJ14"/>
    <mergeCell ref="AK12:AK14"/>
    <mergeCell ref="AL12:AL14"/>
    <mergeCell ref="AM12:AM14"/>
    <mergeCell ref="AN12:AN14"/>
    <mergeCell ref="I9:I10"/>
    <mergeCell ref="I12:I14"/>
    <mergeCell ref="AI9:AI10"/>
    <mergeCell ref="E12:E14"/>
    <mergeCell ref="F12:F14"/>
    <mergeCell ref="R7:R8"/>
    <mergeCell ref="M7:M8"/>
    <mergeCell ref="O7:O8"/>
    <mergeCell ref="H7:H8"/>
    <mergeCell ref="AL7:AL8"/>
    <mergeCell ref="AJ7:AJ8"/>
    <mergeCell ref="S7:S8"/>
    <mergeCell ref="AG7:AG8"/>
    <mergeCell ref="AC7:AC8"/>
    <mergeCell ref="B12:B14"/>
    <mergeCell ref="C12:C14"/>
    <mergeCell ref="AO12:AO14"/>
    <mergeCell ref="AP12:AP14"/>
    <mergeCell ref="A12:A14"/>
    <mergeCell ref="AI15:AI16"/>
    <mergeCell ref="AJ15:AJ16"/>
    <mergeCell ref="AK15:AK16"/>
    <mergeCell ref="AL15:AL16"/>
    <mergeCell ref="AM15:AM16"/>
    <mergeCell ref="AN15:AN16"/>
    <mergeCell ref="AO15:AO16"/>
    <mergeCell ref="AP15:AP16"/>
    <mergeCell ref="A15:A17"/>
    <mergeCell ref="C15:C16"/>
    <mergeCell ref="D15:D16"/>
    <mergeCell ref="D12:D14"/>
    <mergeCell ref="P15:P16"/>
    <mergeCell ref="Q15:Q16"/>
    <mergeCell ref="R15:R16"/>
    <mergeCell ref="J15:J16"/>
    <mergeCell ref="K15:K16"/>
    <mergeCell ref="L15:L16"/>
    <mergeCell ref="M15:M16"/>
    <mergeCell ref="O15:O16"/>
    <mergeCell ref="N15:N16"/>
    <mergeCell ref="AO22:AO23"/>
    <mergeCell ref="AP22:AP23"/>
    <mergeCell ref="A19:A21"/>
    <mergeCell ref="C22:C23"/>
    <mergeCell ref="D22:D23"/>
    <mergeCell ref="E22:E23"/>
    <mergeCell ref="F22:F23"/>
    <mergeCell ref="G22:G23"/>
    <mergeCell ref="H22:H23"/>
    <mergeCell ref="J22:J23"/>
    <mergeCell ref="K22:K23"/>
    <mergeCell ref="L22:L23"/>
    <mergeCell ref="M22:M23"/>
    <mergeCell ref="N22:N23"/>
    <mergeCell ref="O22:O23"/>
    <mergeCell ref="P22:P23"/>
    <mergeCell ref="Q22:Q23"/>
    <mergeCell ref="R22:R23"/>
    <mergeCell ref="A22:A23"/>
    <mergeCell ref="AI22:AI23"/>
    <mergeCell ref="AJ22:AJ23"/>
    <mergeCell ref="AK22:AK23"/>
    <mergeCell ref="AL22:AL23"/>
    <mergeCell ref="AM22:AM23"/>
    <mergeCell ref="AN22:AN23"/>
    <mergeCell ref="AI25:AI26"/>
    <mergeCell ref="AJ25:AJ26"/>
    <mergeCell ref="AK25:AK26"/>
    <mergeCell ref="AL25:AL26"/>
    <mergeCell ref="AM25:AM26"/>
    <mergeCell ref="AN25:AN26"/>
    <mergeCell ref="AO25:AO26"/>
    <mergeCell ref="AP25:AP26"/>
    <mergeCell ref="A25:A26"/>
    <mergeCell ref="C25:C26"/>
    <mergeCell ref="D25:D26"/>
    <mergeCell ref="E25:E26"/>
    <mergeCell ref="F25:F26"/>
    <mergeCell ref="G25:G26"/>
    <mergeCell ref="H25:H26"/>
    <mergeCell ref="J25:J26"/>
    <mergeCell ref="K25:K26"/>
    <mergeCell ref="L25:L26"/>
    <mergeCell ref="M25:M26"/>
    <mergeCell ref="N25:N26"/>
    <mergeCell ref="O25:O26"/>
    <mergeCell ref="P25:P26"/>
    <mergeCell ref="Q25:Q26"/>
    <mergeCell ref="R25:R26"/>
    <mergeCell ref="J27:J29"/>
    <mergeCell ref="K27:K29"/>
    <mergeCell ref="L27:L29"/>
    <mergeCell ref="M27:M29"/>
    <mergeCell ref="N27:N29"/>
    <mergeCell ref="O27:O29"/>
    <mergeCell ref="AO28:AO29"/>
    <mergeCell ref="AP28:AP29"/>
    <mergeCell ref="A27:A29"/>
    <mergeCell ref="P27:P29"/>
    <mergeCell ref="Q27:Q29"/>
    <mergeCell ref="R27:R29"/>
    <mergeCell ref="C27:C29"/>
    <mergeCell ref="D27:D29"/>
    <mergeCell ref="E27:E29"/>
    <mergeCell ref="AI27:AI29"/>
    <mergeCell ref="AJ27:AJ29"/>
    <mergeCell ref="AK28:AK29"/>
    <mergeCell ref="AL28:AL29"/>
    <mergeCell ref="AM28:AM29"/>
    <mergeCell ref="AN28:AN29"/>
    <mergeCell ref="F27:F29"/>
    <mergeCell ref="G27:G29"/>
    <mergeCell ref="H27:H29"/>
    <mergeCell ref="M30:M31"/>
    <mergeCell ref="N30:N31"/>
    <mergeCell ref="O30:O31"/>
    <mergeCell ref="P30:P31"/>
    <mergeCell ref="Q30:Q31"/>
    <mergeCell ref="R30:R31"/>
    <mergeCell ref="AI30:AI31"/>
    <mergeCell ref="AJ30:AJ31"/>
    <mergeCell ref="A30:A31"/>
    <mergeCell ref="C30:C31"/>
    <mergeCell ref="D30:D31"/>
    <mergeCell ref="E30:E31"/>
    <mergeCell ref="F30:F31"/>
    <mergeCell ref="G30:G31"/>
    <mergeCell ref="H30:H31"/>
    <mergeCell ref="J30:J31"/>
    <mergeCell ref="K30:K31"/>
    <mergeCell ref="L30:L31"/>
    <mergeCell ref="AI33:AI34"/>
    <mergeCell ref="AJ33:AJ34"/>
    <mergeCell ref="AK33:AK34"/>
    <mergeCell ref="AL33:AL34"/>
    <mergeCell ref="AM33:AM34"/>
    <mergeCell ref="AN33:AN34"/>
    <mergeCell ref="AO33:AO34"/>
    <mergeCell ref="A32:A34"/>
    <mergeCell ref="C33:C34"/>
    <mergeCell ref="D33:D34"/>
    <mergeCell ref="E33:E34"/>
    <mergeCell ref="F33:F34"/>
    <mergeCell ref="G33:G34"/>
    <mergeCell ref="H33:H34"/>
    <mergeCell ref="J33:J34"/>
    <mergeCell ref="K33:K34"/>
    <mergeCell ref="L33:L34"/>
    <mergeCell ref="M33:M34"/>
    <mergeCell ref="N33:N34"/>
    <mergeCell ref="O33:O34"/>
    <mergeCell ref="P33:P34"/>
    <mergeCell ref="Q33:Q34"/>
    <mergeCell ref="R33:R34"/>
    <mergeCell ref="AL35:AL36"/>
    <mergeCell ref="AM35:AM36"/>
    <mergeCell ref="AN35:AN36"/>
    <mergeCell ref="AO35:AO36"/>
    <mergeCell ref="AP35:AP36"/>
    <mergeCell ref="N35:N36"/>
    <mergeCell ref="P35:P36"/>
    <mergeCell ref="A35:A36"/>
    <mergeCell ref="M35:M36"/>
    <mergeCell ref="O35:O36"/>
    <mergeCell ref="Q35:Q36"/>
    <mergeCell ref="R35:R36"/>
    <mergeCell ref="AI35:AI36"/>
    <mergeCell ref="AJ35:AJ36"/>
    <mergeCell ref="AK35:AK36"/>
    <mergeCell ref="C35:C36"/>
    <mergeCell ref="D35:D36"/>
    <mergeCell ref="E35:E36"/>
    <mergeCell ref="F35:F36"/>
    <mergeCell ref="G35:G36"/>
    <mergeCell ref="H35:H36"/>
    <mergeCell ref="J35:J36"/>
    <mergeCell ref="K35:K36"/>
    <mergeCell ref="L35:L36"/>
    <mergeCell ref="AO38:AO39"/>
    <mergeCell ref="C38:C39"/>
    <mergeCell ref="D38:D39"/>
    <mergeCell ref="E38:E39"/>
    <mergeCell ref="F38:F39"/>
    <mergeCell ref="G38:G39"/>
    <mergeCell ref="H38:H39"/>
    <mergeCell ref="J38:J39"/>
    <mergeCell ref="K38:K39"/>
    <mergeCell ref="L38:L39"/>
    <mergeCell ref="M38:M39"/>
    <mergeCell ref="N38:N39"/>
    <mergeCell ref="O38:O39"/>
    <mergeCell ref="P38:P39"/>
    <mergeCell ref="I38:I39"/>
    <mergeCell ref="Q38:Q39"/>
    <mergeCell ref="R38:R39"/>
    <mergeCell ref="AI38:AI39"/>
    <mergeCell ref="AJ38:AJ39"/>
    <mergeCell ref="AK38:AK39"/>
    <mergeCell ref="AL38:AL39"/>
    <mergeCell ref="AM38:AM39"/>
    <mergeCell ref="AN38:AN39"/>
    <mergeCell ref="A2:C5"/>
    <mergeCell ref="AM2:AP4"/>
    <mergeCell ref="AM5:AP5"/>
    <mergeCell ref="E2:AL3"/>
    <mergeCell ref="E4:AL5"/>
    <mergeCell ref="AP38:AP39"/>
    <mergeCell ref="A38:A39"/>
    <mergeCell ref="AP33:AP34"/>
    <mergeCell ref="B22:B23"/>
    <mergeCell ref="B25:B26"/>
    <mergeCell ref="B27:B29"/>
    <mergeCell ref="B30:B31"/>
    <mergeCell ref="B35:B36"/>
    <mergeCell ref="B38:B39"/>
    <mergeCell ref="I15:I16"/>
    <mergeCell ref="I22:I23"/>
    <mergeCell ref="I25:I26"/>
    <mergeCell ref="I27:I29"/>
    <mergeCell ref="I30:I31"/>
    <mergeCell ref="I33:I34"/>
    <mergeCell ref="I35:I36"/>
  </mergeCells>
  <conditionalFormatting sqref="K9">
    <cfRule type="cellIs" dxfId="253" priority="1662" operator="equal">
      <formula>"Media"</formula>
    </cfRule>
    <cfRule type="cellIs" dxfId="252" priority="1663" operator="equal">
      <formula>"Baja"</formula>
    </cfRule>
    <cfRule type="cellIs" dxfId="251" priority="1664" operator="equal">
      <formula>"Muy Baja"</formula>
    </cfRule>
    <cfRule type="cellIs" dxfId="250" priority="1661" operator="equal">
      <formula>"Alta"</formula>
    </cfRule>
    <cfRule type="cellIs" dxfId="249" priority="1660" operator="equal">
      <formula>"Muy Alta"</formula>
    </cfRule>
  </conditionalFormatting>
  <conditionalFormatting sqref="K11:K12">
    <cfRule type="cellIs" dxfId="248" priority="1277" operator="equal">
      <formula>"Alta"</formula>
    </cfRule>
    <cfRule type="cellIs" dxfId="247" priority="1276" operator="equal">
      <formula>"Muy Alta"</formula>
    </cfRule>
    <cfRule type="cellIs" dxfId="246" priority="1278" operator="equal">
      <formula>"Media"</formula>
    </cfRule>
    <cfRule type="cellIs" dxfId="245" priority="1279" operator="equal">
      <formula>"Baja"</formula>
    </cfRule>
    <cfRule type="cellIs" dxfId="244" priority="1280" operator="equal">
      <formula>"Muy Baja"</formula>
    </cfRule>
  </conditionalFormatting>
  <conditionalFormatting sqref="K15">
    <cfRule type="cellIs" dxfId="243" priority="1216" operator="equal">
      <formula>"Muy Alta"</formula>
    </cfRule>
    <cfRule type="cellIs" dxfId="242" priority="1220" operator="equal">
      <formula>"Muy Baja"</formula>
    </cfRule>
    <cfRule type="cellIs" dxfId="241" priority="1219" operator="equal">
      <formula>"Baja"</formula>
    </cfRule>
    <cfRule type="cellIs" dxfId="240" priority="1218" operator="equal">
      <formula>"Media"</formula>
    </cfRule>
    <cfRule type="cellIs" dxfId="239" priority="1217" operator="equal">
      <formula>"Alta"</formula>
    </cfRule>
  </conditionalFormatting>
  <conditionalFormatting sqref="K17:K22">
    <cfRule type="cellIs" dxfId="238" priority="848" operator="equal">
      <formula>"Muy Baja"</formula>
    </cfRule>
    <cfRule type="cellIs" dxfId="237" priority="847" operator="equal">
      <formula>"Baja"</formula>
    </cfRule>
    <cfRule type="cellIs" dxfId="236" priority="846" operator="equal">
      <formula>"Media"</formula>
    </cfRule>
    <cfRule type="cellIs" dxfId="235" priority="844" operator="equal">
      <formula>"Muy Alta"</formula>
    </cfRule>
    <cfRule type="cellIs" dxfId="234" priority="845" operator="equal">
      <formula>"Alta"</formula>
    </cfRule>
  </conditionalFormatting>
  <conditionalFormatting sqref="K24:K25">
    <cfRule type="cellIs" dxfId="233" priority="634" operator="equal">
      <formula>"Media"</formula>
    </cfRule>
    <cfRule type="cellIs" dxfId="232" priority="635" operator="equal">
      <formula>"Baja"</formula>
    </cfRule>
    <cfRule type="cellIs" dxfId="231" priority="633" operator="equal">
      <formula>"Alta"</formula>
    </cfRule>
    <cfRule type="cellIs" dxfId="230" priority="632" operator="equal">
      <formula>"Muy Alta"</formula>
    </cfRule>
    <cfRule type="cellIs" dxfId="229" priority="636" operator="equal">
      <formula>"Muy Baja"</formula>
    </cfRule>
  </conditionalFormatting>
  <conditionalFormatting sqref="K27">
    <cfRule type="cellIs" dxfId="228" priority="566" operator="equal">
      <formula>"Muy Alta"</formula>
    </cfRule>
    <cfRule type="cellIs" dxfId="227" priority="569" operator="equal">
      <formula>"Baja"</formula>
    </cfRule>
    <cfRule type="cellIs" dxfId="226" priority="570" operator="equal">
      <formula>"Muy Baja"</formula>
    </cfRule>
    <cfRule type="cellIs" dxfId="225" priority="568" operator="equal">
      <formula>"Media"</formula>
    </cfRule>
    <cfRule type="cellIs" dxfId="224" priority="567" operator="equal">
      <formula>"Alta"</formula>
    </cfRule>
  </conditionalFormatting>
  <conditionalFormatting sqref="K30">
    <cfRule type="cellIs" dxfId="223" priority="505" operator="equal">
      <formula>"Baja"</formula>
    </cfRule>
    <cfRule type="cellIs" dxfId="222" priority="506" operator="equal">
      <formula>"Muy Baja"</formula>
    </cfRule>
    <cfRule type="cellIs" dxfId="221" priority="504" operator="equal">
      <formula>"Media"</formula>
    </cfRule>
    <cfRule type="cellIs" dxfId="220" priority="503" operator="equal">
      <formula>"Alta"</formula>
    </cfRule>
    <cfRule type="cellIs" dxfId="219" priority="502" operator="equal">
      <formula>"Muy Alta"</formula>
    </cfRule>
  </conditionalFormatting>
  <conditionalFormatting sqref="K32:K33">
    <cfRule type="cellIs" dxfId="218" priority="368" operator="equal">
      <formula>"Muy Baja"</formula>
    </cfRule>
    <cfRule type="cellIs" dxfId="217" priority="366" operator="equal">
      <formula>"Media"</formula>
    </cfRule>
    <cfRule type="cellIs" dxfId="216" priority="367" operator="equal">
      <formula>"Baja"</formula>
    </cfRule>
    <cfRule type="cellIs" dxfId="215" priority="364" operator="equal">
      <formula>"Muy Alta"</formula>
    </cfRule>
    <cfRule type="cellIs" dxfId="214" priority="365" operator="equal">
      <formula>"Alta"</formula>
    </cfRule>
  </conditionalFormatting>
  <conditionalFormatting sqref="K35">
    <cfRule type="cellIs" dxfId="213" priority="248" operator="equal">
      <formula>"Muy Alta"</formula>
    </cfRule>
    <cfRule type="cellIs" dxfId="212" priority="252" operator="equal">
      <formula>"Muy Baja"</formula>
    </cfRule>
    <cfRule type="cellIs" dxfId="211" priority="251" operator="equal">
      <formula>"Baja"</formula>
    </cfRule>
    <cfRule type="cellIs" dxfId="210" priority="250" operator="equal">
      <formula>"Media"</formula>
    </cfRule>
    <cfRule type="cellIs" dxfId="209" priority="249" operator="equal">
      <formula>"Alta"</formula>
    </cfRule>
  </conditionalFormatting>
  <conditionalFormatting sqref="K37:K38">
    <cfRule type="cellIs" dxfId="208" priority="87" operator="equal">
      <formula>"Muy Baja"</formula>
    </cfRule>
    <cfRule type="cellIs" dxfId="207" priority="86" operator="equal">
      <formula>"Baja"</formula>
    </cfRule>
    <cfRule type="cellIs" dxfId="206" priority="85" operator="equal">
      <formula>"Media"</formula>
    </cfRule>
    <cfRule type="cellIs" dxfId="205" priority="84" operator="equal">
      <formula>"Alta"</formula>
    </cfRule>
    <cfRule type="cellIs" dxfId="204" priority="83" operator="equal">
      <formula>"Muy Alta"</formula>
    </cfRule>
  </conditionalFormatting>
  <conditionalFormatting sqref="N9">
    <cfRule type="cellIs" dxfId="203" priority="1495" operator="equal">
      <formula>"Mayor"</formula>
    </cfRule>
    <cfRule type="cellIs" dxfId="202" priority="1496" operator="equal">
      <formula>"Moderado"</formula>
    </cfRule>
    <cfRule type="cellIs" dxfId="201" priority="1497" operator="equal">
      <formula>"Menor"</formula>
    </cfRule>
    <cfRule type="cellIs" dxfId="200" priority="1498" operator="equal">
      <formula>"Leve"</formula>
    </cfRule>
    <cfRule type="cellIs" dxfId="199" priority="1494" operator="equal">
      <formula>"Catastrófico"</formula>
    </cfRule>
  </conditionalFormatting>
  <conditionalFormatting sqref="N11:N12">
    <cfRule type="cellIs" dxfId="198" priority="1112" operator="equal">
      <formula>"Leve"</formula>
    </cfRule>
    <cfRule type="cellIs" dxfId="197" priority="1111" operator="equal">
      <formula>"Menor"</formula>
    </cfRule>
    <cfRule type="cellIs" dxfId="196" priority="1110" operator="equal">
      <formula>"Moderado"</formula>
    </cfRule>
    <cfRule type="cellIs" dxfId="195" priority="1108" operator="equal">
      <formula>"Catastrófico"</formula>
    </cfRule>
    <cfRule type="cellIs" dxfId="194" priority="1109" operator="equal">
      <formula>"Mayor"</formula>
    </cfRule>
  </conditionalFormatting>
  <conditionalFormatting sqref="N15">
    <cfRule type="cellIs" dxfId="193" priority="1166" operator="equal">
      <formula>"Mayor"</formula>
    </cfRule>
    <cfRule type="cellIs" dxfId="192" priority="1168" operator="equal">
      <formula>"Menor"</formula>
    </cfRule>
    <cfRule type="cellIs" dxfId="191" priority="1165" operator="equal">
      <formula>"Catastrófico"</formula>
    </cfRule>
    <cfRule type="cellIs" dxfId="190" priority="1169" operator="equal">
      <formula>"Leve"</formula>
    </cfRule>
    <cfRule type="cellIs" dxfId="189" priority="1167" operator="equal">
      <formula>"Moderado"</formula>
    </cfRule>
  </conditionalFormatting>
  <conditionalFormatting sqref="N18:N22">
    <cfRule type="cellIs" dxfId="188" priority="710" operator="equal">
      <formula>"Leve"</formula>
    </cfRule>
    <cfRule type="cellIs" dxfId="187" priority="708" operator="equal">
      <formula>"Moderado"</formula>
    </cfRule>
    <cfRule type="cellIs" dxfId="186" priority="707" operator="equal">
      <formula>"Mayor"</formula>
    </cfRule>
    <cfRule type="cellIs" dxfId="185" priority="706" operator="equal">
      <formula>"Catastrófico"</formula>
    </cfRule>
    <cfRule type="cellIs" dxfId="184" priority="709" operator="equal">
      <formula>"Menor"</formula>
    </cfRule>
  </conditionalFormatting>
  <conditionalFormatting sqref="N24:N25">
    <cfRule type="cellIs" dxfId="183" priority="582" operator="equal">
      <formula>"Mayor"</formula>
    </cfRule>
    <cfRule type="cellIs" dxfId="182" priority="584" operator="equal">
      <formula>"Menor"</formula>
    </cfRule>
    <cfRule type="cellIs" dxfId="181" priority="585" operator="equal">
      <formula>"Leve"</formula>
    </cfRule>
    <cfRule type="cellIs" dxfId="180" priority="583" operator="equal">
      <formula>"Moderado"</formula>
    </cfRule>
    <cfRule type="cellIs" dxfId="179" priority="581" operator="equal">
      <formula>"Catastrófico"</formula>
    </cfRule>
  </conditionalFormatting>
  <conditionalFormatting sqref="N27">
    <cfRule type="cellIs" dxfId="178" priority="516" operator="equal">
      <formula>"Mayor"</formula>
    </cfRule>
    <cfRule type="cellIs" dxfId="177" priority="518" operator="equal">
      <formula>"Menor"</formula>
    </cfRule>
    <cfRule type="cellIs" dxfId="176" priority="519" operator="equal">
      <formula>"Leve"</formula>
    </cfRule>
    <cfRule type="cellIs" dxfId="175" priority="515" operator="equal">
      <formula>"Catastrófico"</formula>
    </cfRule>
    <cfRule type="cellIs" dxfId="174" priority="517" operator="equal">
      <formula>"Moderado"</formula>
    </cfRule>
  </conditionalFormatting>
  <conditionalFormatting sqref="N30">
    <cfRule type="cellIs" dxfId="173" priority="429" operator="equal">
      <formula>"Menor"</formula>
    </cfRule>
    <cfRule type="cellIs" dxfId="172" priority="428" operator="equal">
      <formula>"Moderado"</formula>
    </cfRule>
    <cfRule type="cellIs" dxfId="171" priority="427" operator="equal">
      <formula>"Mayor"</formula>
    </cfRule>
    <cfRule type="cellIs" dxfId="170" priority="430" operator="equal">
      <formula>"Leve"</formula>
    </cfRule>
    <cfRule type="cellIs" dxfId="169" priority="426" operator="equal">
      <formula>"Catastrófico"</formula>
    </cfRule>
  </conditionalFormatting>
  <conditionalFormatting sqref="N32:N33">
    <cfRule type="cellIs" dxfId="168" priority="267" operator="equal">
      <formula>"Leve"</formula>
    </cfRule>
    <cfRule type="cellIs" dxfId="167" priority="265" operator="equal">
      <formula>"Moderado"</formula>
    </cfRule>
    <cfRule type="cellIs" dxfId="166" priority="263" operator="equal">
      <formula>"Catastrófico"</formula>
    </cfRule>
    <cfRule type="cellIs" dxfId="165" priority="266" operator="equal">
      <formula>"Menor"</formula>
    </cfRule>
    <cfRule type="cellIs" dxfId="164" priority="264" operator="equal">
      <formula>"Mayor"</formula>
    </cfRule>
  </conditionalFormatting>
  <conditionalFormatting sqref="N35">
    <cfRule type="cellIs" dxfId="163" priority="176" operator="equal">
      <formula>"Leve"</formula>
    </cfRule>
    <cfRule type="cellIs" dxfId="162" priority="174" operator="equal">
      <formula>"Moderado"</formula>
    </cfRule>
    <cfRule type="cellIs" dxfId="161" priority="172" operator="equal">
      <formula>"Catastrófico"</formula>
    </cfRule>
    <cfRule type="cellIs" dxfId="160" priority="173" operator="equal">
      <formula>"Mayor"</formula>
    </cfRule>
    <cfRule type="cellIs" dxfId="159" priority="175" operator="equal">
      <formula>"Menor"</formula>
    </cfRule>
  </conditionalFormatting>
  <conditionalFormatting sqref="N37:N38">
    <cfRule type="cellIs" dxfId="158" priority="36" operator="equal">
      <formula>"Leve"</formula>
    </cfRule>
    <cfRule type="cellIs" dxfId="157" priority="32" operator="equal">
      <formula>"Catastrófico"</formula>
    </cfRule>
    <cfRule type="cellIs" dxfId="156" priority="33" operator="equal">
      <formula>"Mayor"</formula>
    </cfRule>
    <cfRule type="cellIs" dxfId="155" priority="34" operator="equal">
      <formula>"Moderado"</formula>
    </cfRule>
    <cfRule type="cellIs" dxfId="154" priority="35" operator="equal">
      <formula>"Menor"</formula>
    </cfRule>
  </conditionalFormatting>
  <conditionalFormatting sqref="O9">
    <cfRule type="containsText" dxfId="153" priority="1485" operator="containsText" text="CATASTRÓFICO">
      <formula>NOT(ISERROR(SEARCH("CATASTRÓFICO",O9)))</formula>
    </cfRule>
    <cfRule type="containsText" dxfId="152" priority="1486" operator="containsText" text="MODERADO">
      <formula>NOT(ISERROR(SEARCH("MODERADO",O9)))</formula>
    </cfRule>
    <cfRule type="containsText" dxfId="151" priority="1487" operator="containsText" text="MAYOR">
      <formula>NOT(ISERROR(SEARCH("MAYOR",O9)))</formula>
    </cfRule>
  </conditionalFormatting>
  <conditionalFormatting sqref="O11:O39">
    <cfRule type="containsText" dxfId="150" priority="29" operator="containsText" text="CATASTRÓFICO">
      <formula>NOT(ISERROR(SEARCH("CATASTRÓFICO",O11)))</formula>
    </cfRule>
    <cfRule type="containsText" dxfId="149" priority="30" operator="containsText" text="MODERADO">
      <formula>NOT(ISERROR(SEARCH("MODERADO",O11)))</formula>
    </cfRule>
    <cfRule type="containsText" dxfId="148" priority="31" operator="containsText" text="MAYOR">
      <formula>NOT(ISERROR(SEARCH("MAYOR",O11)))</formula>
    </cfRule>
  </conditionalFormatting>
  <conditionalFormatting sqref="P9">
    <cfRule type="cellIs" dxfId="147" priority="1669" operator="equal">
      <formula>"Leve"</formula>
    </cfRule>
    <cfRule type="cellIs" dxfId="146" priority="1668" operator="equal">
      <formula>"Menor"</formula>
    </cfRule>
    <cfRule type="cellIs" dxfId="145" priority="1665" operator="equal">
      <formula>"Catastrófico"</formula>
    </cfRule>
    <cfRule type="cellIs" dxfId="144" priority="1666" operator="equal">
      <formula>"Mayor"</formula>
    </cfRule>
    <cfRule type="cellIs" dxfId="143" priority="1667" operator="equal">
      <formula>"Moderado"</formula>
    </cfRule>
  </conditionalFormatting>
  <conditionalFormatting sqref="P11:P12">
    <cfRule type="cellIs" dxfId="142" priority="1117" operator="equal">
      <formula>"Catastrófico"</formula>
    </cfRule>
    <cfRule type="cellIs" dxfId="141" priority="1118" operator="equal">
      <formula>"Mayor"</formula>
    </cfRule>
    <cfRule type="cellIs" dxfId="140" priority="1119" operator="equal">
      <formula>"Moderado"</formula>
    </cfRule>
    <cfRule type="cellIs" dxfId="139" priority="1120" operator="equal">
      <formula>"Menor"</formula>
    </cfRule>
    <cfRule type="cellIs" dxfId="138" priority="1121" operator="equal">
      <formula>"Leve"</formula>
    </cfRule>
  </conditionalFormatting>
  <conditionalFormatting sqref="P15">
    <cfRule type="cellIs" dxfId="137" priority="1224" operator="equal">
      <formula>"Menor"</formula>
    </cfRule>
    <cfRule type="cellIs" dxfId="136" priority="1225" operator="equal">
      <formula>"Leve"</formula>
    </cfRule>
    <cfRule type="cellIs" dxfId="135" priority="1221" operator="equal">
      <formula>"Catastrófico"</formula>
    </cfRule>
    <cfRule type="cellIs" dxfId="134" priority="1222" operator="equal">
      <formula>"Mayor"</formula>
    </cfRule>
    <cfRule type="cellIs" dxfId="133" priority="1223" operator="equal">
      <formula>"Moderado"</formula>
    </cfRule>
  </conditionalFormatting>
  <conditionalFormatting sqref="P17:P22">
    <cfRule type="cellIs" dxfId="132" priority="705" operator="equal">
      <formula>"Leve"</formula>
    </cfRule>
    <cfRule type="cellIs" dxfId="131" priority="701" operator="equal">
      <formula>"Catastrófico"</formula>
    </cfRule>
    <cfRule type="cellIs" dxfId="130" priority="703" operator="equal">
      <formula>"Moderado"</formula>
    </cfRule>
    <cfRule type="cellIs" dxfId="129" priority="704" operator="equal">
      <formula>"Menor"</formula>
    </cfRule>
    <cfRule type="cellIs" dxfId="128" priority="702" operator="equal">
      <formula>"Mayor"</formula>
    </cfRule>
  </conditionalFormatting>
  <conditionalFormatting sqref="P24:P25">
    <cfRule type="cellIs" dxfId="127" priority="579" operator="equal">
      <formula>"Menor"</formula>
    </cfRule>
    <cfRule type="cellIs" dxfId="126" priority="577" operator="equal">
      <formula>"Mayor"</formula>
    </cfRule>
    <cfRule type="cellIs" dxfId="125" priority="580" operator="equal">
      <formula>"Leve"</formula>
    </cfRule>
    <cfRule type="cellIs" dxfId="124" priority="578" operator="equal">
      <formula>"Moderado"</formula>
    </cfRule>
    <cfRule type="cellIs" dxfId="123" priority="576" operator="equal">
      <formula>"Catastrófico"</formula>
    </cfRule>
  </conditionalFormatting>
  <conditionalFormatting sqref="P27">
    <cfRule type="cellIs" dxfId="122" priority="571" operator="equal">
      <formula>"Catastrófico"</formula>
    </cfRule>
    <cfRule type="cellIs" dxfId="121" priority="572" operator="equal">
      <formula>"Mayor"</formula>
    </cfRule>
    <cfRule type="cellIs" dxfId="120" priority="573" operator="equal">
      <formula>"Moderado"</formula>
    </cfRule>
    <cfRule type="cellIs" dxfId="119" priority="574" operator="equal">
      <formula>"Menor"</formula>
    </cfRule>
    <cfRule type="cellIs" dxfId="118" priority="575" operator="equal">
      <formula>"Leve"</formula>
    </cfRule>
  </conditionalFormatting>
  <conditionalFormatting sqref="P30">
    <cfRule type="cellIs" dxfId="117" priority="422" operator="equal">
      <formula>"Mayor"</formula>
    </cfRule>
    <cfRule type="cellIs" dxfId="116" priority="425" operator="equal">
      <formula>"Leve"</formula>
    </cfRule>
    <cfRule type="cellIs" dxfId="115" priority="424" operator="equal">
      <formula>"Menor"</formula>
    </cfRule>
    <cfRule type="cellIs" dxfId="114" priority="423" operator="equal">
      <formula>"Moderado"</formula>
    </cfRule>
    <cfRule type="cellIs" dxfId="113" priority="421" operator="equal">
      <formula>"Catastrófico"</formula>
    </cfRule>
  </conditionalFormatting>
  <conditionalFormatting sqref="P32:P33">
    <cfRule type="cellIs" dxfId="112" priority="259" operator="equal">
      <formula>"Mayor"</formula>
    </cfRule>
    <cfRule type="cellIs" dxfId="111" priority="258" operator="equal">
      <formula>"Catastrófico"</formula>
    </cfRule>
    <cfRule type="cellIs" dxfId="110" priority="260" operator="equal">
      <formula>"Moderado"</formula>
    </cfRule>
    <cfRule type="cellIs" dxfId="109" priority="261" operator="equal">
      <formula>"Menor"</formula>
    </cfRule>
    <cfRule type="cellIs" dxfId="108" priority="262" operator="equal">
      <formula>"Leve"</formula>
    </cfRule>
  </conditionalFormatting>
  <conditionalFormatting sqref="P35">
    <cfRule type="cellIs" dxfId="107" priority="167" operator="equal">
      <formula>"Catastrófico"</formula>
    </cfRule>
    <cfRule type="cellIs" dxfId="106" priority="168" operator="equal">
      <formula>"Mayor"</formula>
    </cfRule>
    <cfRule type="cellIs" dxfId="105" priority="169" operator="equal">
      <formula>"Moderado"</formula>
    </cfRule>
    <cfRule type="cellIs" dxfId="104" priority="170" operator="equal">
      <formula>"Menor"</formula>
    </cfRule>
    <cfRule type="cellIs" dxfId="103" priority="171" operator="equal">
      <formula>"Leve"</formula>
    </cfRule>
  </conditionalFormatting>
  <conditionalFormatting sqref="P37:P38">
    <cfRule type="cellIs" dxfId="102" priority="89" operator="equal">
      <formula>"Mayor"</formula>
    </cfRule>
    <cfRule type="cellIs" dxfId="101" priority="88" operator="equal">
      <formula>"Catastrófico"</formula>
    </cfRule>
    <cfRule type="cellIs" dxfId="100" priority="92" operator="equal">
      <formula>"Leve"</formula>
    </cfRule>
    <cfRule type="cellIs" dxfId="99" priority="91" operator="equal">
      <formula>"Menor"</formula>
    </cfRule>
    <cfRule type="cellIs" dxfId="98" priority="90" operator="equal">
      <formula>"Moderado"</formula>
    </cfRule>
  </conditionalFormatting>
  <conditionalFormatting sqref="R9">
    <cfRule type="cellIs" dxfId="97" priority="1656" operator="equal">
      <formula>"Extremo"</formula>
    </cfRule>
    <cfRule type="cellIs" dxfId="96" priority="1657" operator="equal">
      <formula>"Alto"</formula>
    </cfRule>
    <cfRule type="cellIs" dxfId="95" priority="1658" operator="equal">
      <formula>"Moderado"</formula>
    </cfRule>
    <cfRule type="cellIs" dxfId="94" priority="1659" operator="equal">
      <formula>"Bajo"</formula>
    </cfRule>
  </conditionalFormatting>
  <conditionalFormatting sqref="R15">
    <cfRule type="cellIs" dxfId="93" priority="1215" operator="equal">
      <formula>"Bajo"</formula>
    </cfRule>
    <cfRule type="cellIs" dxfId="92" priority="1214" operator="equal">
      <formula>"Moderado"</formula>
    </cfRule>
    <cfRule type="cellIs" dxfId="91" priority="1213" operator="equal">
      <formula>"Alto"</formula>
    </cfRule>
    <cfRule type="cellIs" dxfId="90" priority="1212" operator="equal">
      <formula>"Extremo"</formula>
    </cfRule>
  </conditionalFormatting>
  <conditionalFormatting sqref="R17:R22">
    <cfRule type="cellIs" dxfId="89" priority="719" operator="equal">
      <formula>"Extremo"</formula>
    </cfRule>
    <cfRule type="cellIs" dxfId="88" priority="721" operator="equal">
      <formula>"Moderado"</formula>
    </cfRule>
    <cfRule type="cellIs" dxfId="87" priority="722" operator="equal">
      <formula>"Bajo"</formula>
    </cfRule>
    <cfRule type="cellIs" dxfId="86" priority="720" operator="equal">
      <formula>"Alto"</formula>
    </cfRule>
  </conditionalFormatting>
  <conditionalFormatting sqref="R27">
    <cfRule type="cellIs" dxfId="85" priority="565" operator="equal">
      <formula>"Bajo"</formula>
    </cfRule>
    <cfRule type="cellIs" dxfId="84" priority="563" operator="equal">
      <formula>"Alto"</formula>
    </cfRule>
    <cfRule type="cellIs" dxfId="83" priority="562" operator="equal">
      <formula>"Extremo"</formula>
    </cfRule>
    <cfRule type="cellIs" dxfId="82" priority="564" operator="equal">
      <formula>"Moderado"</formula>
    </cfRule>
  </conditionalFormatting>
  <conditionalFormatting sqref="R30">
    <cfRule type="cellIs" dxfId="81" priority="441" operator="equal">
      <formula>"Moderado"</formula>
    </cfRule>
    <cfRule type="cellIs" dxfId="80" priority="440" operator="equal">
      <formula>"Alto"</formula>
    </cfRule>
    <cfRule type="cellIs" dxfId="79" priority="439" operator="equal">
      <formula>"Extremo"</formula>
    </cfRule>
    <cfRule type="cellIs" dxfId="78" priority="442" operator="equal">
      <formula>"Bajo"</formula>
    </cfRule>
  </conditionalFormatting>
  <conditionalFormatting sqref="R32:R33">
    <cfRule type="cellIs" dxfId="77" priority="302" operator="equal">
      <formula>"Alto"</formula>
    </cfRule>
    <cfRule type="cellIs" dxfId="76" priority="303" operator="equal">
      <formula>"Moderado"</formula>
    </cfRule>
    <cfRule type="cellIs" dxfId="75" priority="304" operator="equal">
      <formula>"Bajo"</formula>
    </cfRule>
    <cfRule type="cellIs" dxfId="74" priority="301" operator="equal">
      <formula>"Extremo"</formula>
    </cfRule>
  </conditionalFormatting>
  <conditionalFormatting sqref="R35">
    <cfRule type="cellIs" dxfId="73" priority="186" operator="equal">
      <formula>"Alto"</formula>
    </cfRule>
    <cfRule type="cellIs" dxfId="72" priority="187" operator="equal">
      <formula>"Moderado"</formula>
    </cfRule>
    <cfRule type="cellIs" dxfId="71" priority="188" operator="equal">
      <formula>"Bajo"</formula>
    </cfRule>
    <cfRule type="cellIs" dxfId="70" priority="185" operator="equal">
      <formula>"Extremo"</formula>
    </cfRule>
  </conditionalFormatting>
  <conditionalFormatting sqref="R37:R38">
    <cfRule type="cellIs" dxfId="69" priority="80" operator="equal">
      <formula>"Alto"</formula>
    </cfRule>
    <cfRule type="cellIs" dxfId="68" priority="81" operator="equal">
      <formula>"Moderado"</formula>
    </cfRule>
    <cfRule type="cellIs" dxfId="67" priority="82" operator="equal">
      <formula>"Bajo"</formula>
    </cfRule>
    <cfRule type="cellIs" dxfId="66" priority="79" operator="equal">
      <formula>"Extremo"</formula>
    </cfRule>
  </conditionalFormatting>
  <conditionalFormatting sqref="R11:AI12">
    <cfRule type="cellIs" dxfId="65" priority="1114" operator="equal">
      <formula>"Alto"</formula>
    </cfRule>
    <cfRule type="cellIs" dxfId="64" priority="1113" operator="equal">
      <formula>"Extremo"</formula>
    </cfRule>
    <cfRule type="cellIs" dxfId="63" priority="1115" operator="equal">
      <formula>"Moderado"</formula>
    </cfRule>
    <cfRule type="cellIs" dxfId="62" priority="1116" operator="equal">
      <formula>"Bajo"</formula>
    </cfRule>
  </conditionalFormatting>
  <conditionalFormatting sqref="R24:AI25">
    <cfRule type="cellIs" dxfId="61" priority="9" operator="equal">
      <formula>"Extremo"</formula>
    </cfRule>
    <cfRule type="cellIs" dxfId="60" priority="11" operator="equal">
      <formula>"Moderado"</formula>
    </cfRule>
    <cfRule type="cellIs" dxfId="59" priority="12" operator="equal">
      <formula>"Bajo"</formula>
    </cfRule>
    <cfRule type="cellIs" dxfId="58" priority="10" operator="equal">
      <formula>"Alto"</formula>
    </cfRule>
  </conditionalFormatting>
  <conditionalFormatting sqref="AD9:AD39">
    <cfRule type="cellIs" dxfId="57" priority="49" operator="equal">
      <formula>"Baja"</formula>
    </cfRule>
    <cfRule type="cellIs" dxfId="56" priority="46" operator="equal">
      <formula>"Muy Alta"</formula>
    </cfRule>
    <cfRule type="cellIs" dxfId="55" priority="47" operator="equal">
      <formula>"Alta"</formula>
    </cfRule>
    <cfRule type="cellIs" dxfId="54" priority="48" operator="equal">
      <formula>"Media"</formula>
    </cfRule>
    <cfRule type="cellIs" dxfId="53" priority="50" operator="equal">
      <formula>"Muy Baja"</formula>
    </cfRule>
  </conditionalFormatting>
  <conditionalFormatting sqref="AF9:AF39">
    <cfRule type="cellIs" dxfId="52" priority="45" operator="equal">
      <formula>"Leve"</formula>
    </cfRule>
    <cfRule type="cellIs" dxfId="51" priority="44" operator="equal">
      <formula>"Menor"</formula>
    </cfRule>
    <cfRule type="cellIs" dxfId="50" priority="43" operator="equal">
      <formula>"Moderado"</formula>
    </cfRule>
    <cfRule type="cellIs" dxfId="49" priority="41" operator="equal">
      <formula>"Catastrófico"</formula>
    </cfRule>
    <cfRule type="cellIs" dxfId="48" priority="42" operator="equal">
      <formula>"Mayor"</formula>
    </cfRule>
  </conditionalFormatting>
  <conditionalFormatting sqref="AH10:AH14">
    <cfRule type="cellIs" dxfId="47" priority="1236" operator="equal">
      <formula>"Moderado"</formula>
    </cfRule>
    <cfRule type="cellIs" dxfId="46" priority="1234" operator="equal">
      <formula>"Extremo"</formula>
    </cfRule>
    <cfRule type="cellIs" dxfId="45" priority="1237" operator="equal">
      <formula>"Bajo"</formula>
    </cfRule>
    <cfRule type="cellIs" dxfId="44" priority="1235" operator="equal">
      <formula>"Alto"</formula>
    </cfRule>
  </conditionalFormatting>
  <conditionalFormatting sqref="AH16">
    <cfRule type="cellIs" dxfId="43" priority="1184" operator="equal">
      <formula>"Extremo"</formula>
    </cfRule>
    <cfRule type="cellIs" dxfId="42" priority="1185" operator="equal">
      <formula>"Alto"</formula>
    </cfRule>
    <cfRule type="cellIs" dxfId="41" priority="1186" operator="equal">
      <formula>"Moderado"</formula>
    </cfRule>
    <cfRule type="cellIs" dxfId="40" priority="1187" operator="equal">
      <formula>"Bajo"</formula>
    </cfRule>
  </conditionalFormatting>
  <conditionalFormatting sqref="AH23:AH26">
    <cfRule type="cellIs" dxfId="39" priority="599" operator="equal">
      <formula>"Moderado"</formula>
    </cfRule>
    <cfRule type="cellIs" dxfId="38" priority="597" operator="equal">
      <formula>"Extremo"</formula>
    </cfRule>
    <cfRule type="cellIs" dxfId="37" priority="598" operator="equal">
      <formula>"Alto"</formula>
    </cfRule>
    <cfRule type="cellIs" dxfId="36" priority="600" operator="equal">
      <formula>"Bajo"</formula>
    </cfRule>
  </conditionalFormatting>
  <conditionalFormatting sqref="AH28:AH29">
    <cfRule type="cellIs" dxfId="35" priority="534" operator="equal">
      <formula>"Extremo"</formula>
    </cfRule>
    <cfRule type="cellIs" dxfId="34" priority="537" operator="equal">
      <formula>"Bajo"</formula>
    </cfRule>
    <cfRule type="cellIs" dxfId="33" priority="536" operator="equal">
      <formula>"Moderado"</formula>
    </cfRule>
    <cfRule type="cellIs" dxfId="32" priority="535" operator="equal">
      <formula>"Alto"</formula>
    </cfRule>
  </conditionalFormatting>
  <conditionalFormatting sqref="AH31:AH34">
    <cfRule type="cellIs" dxfId="31" priority="321" operator="equal">
      <formula>"Bajo"</formula>
    </cfRule>
    <cfRule type="cellIs" dxfId="30" priority="320" operator="equal">
      <formula>"Moderado"</formula>
    </cfRule>
    <cfRule type="cellIs" dxfId="29" priority="319" operator="equal">
      <formula>"Alto"</formula>
    </cfRule>
    <cfRule type="cellIs" dxfId="28" priority="318" operator="equal">
      <formula>"Extremo"</formula>
    </cfRule>
  </conditionalFormatting>
  <conditionalFormatting sqref="AH36:AH37">
    <cfRule type="cellIs" dxfId="27" priority="111" operator="equal">
      <formula>"Extremo"</formula>
    </cfRule>
    <cfRule type="cellIs" dxfId="26" priority="112" operator="equal">
      <formula>"Alto"</formula>
    </cfRule>
    <cfRule type="cellIs" dxfId="25" priority="113" operator="equal">
      <formula>"Moderado"</formula>
    </cfRule>
    <cfRule type="cellIs" dxfId="24" priority="114" operator="equal">
      <formula>"Bajo"</formula>
    </cfRule>
  </conditionalFormatting>
  <conditionalFormatting sqref="AH39">
    <cfRule type="cellIs" dxfId="23" priority="53" operator="equal">
      <formula>"Moderado"</formula>
    </cfRule>
    <cfRule type="cellIs" dxfId="22" priority="52" operator="equal">
      <formula>"Alto"</formula>
    </cfRule>
    <cfRule type="cellIs" dxfId="21" priority="51" operator="equal">
      <formula>"Extremo"</formula>
    </cfRule>
    <cfRule type="cellIs" dxfId="20" priority="54" operator="equal">
      <formula>"Bajo"</formula>
    </cfRule>
  </conditionalFormatting>
  <conditionalFormatting sqref="AH9:AI9">
    <cfRule type="cellIs" dxfId="19" priority="1571" operator="equal">
      <formula>"Extremo"</formula>
    </cfRule>
    <cfRule type="cellIs" dxfId="18" priority="1572" operator="equal">
      <formula>"Alto"</formula>
    </cfRule>
    <cfRule type="cellIs" dxfId="17" priority="1573" operator="equal">
      <formula>"Moderado"</formula>
    </cfRule>
    <cfRule type="cellIs" dxfId="16" priority="1574" operator="equal">
      <formula>"Bajo"</formula>
    </cfRule>
  </conditionalFormatting>
  <conditionalFormatting sqref="AH15:AI15">
    <cfRule type="cellIs" dxfId="15" priority="1173" operator="equal">
      <formula>"Bajo"</formula>
    </cfRule>
    <cfRule type="cellIs" dxfId="14" priority="1172" operator="equal">
      <formula>"Moderado"</formula>
    </cfRule>
    <cfRule type="cellIs" dxfId="13" priority="1170" operator="equal">
      <formula>"Extremo"</formula>
    </cfRule>
    <cfRule type="cellIs" dxfId="12" priority="1171" operator="equal">
      <formula>"Alto"</formula>
    </cfRule>
  </conditionalFormatting>
  <conditionalFormatting sqref="AH17:AI38">
    <cfRule type="cellIs" dxfId="11" priority="15" operator="equal">
      <formula>"Moderado"</formula>
    </cfRule>
    <cfRule type="cellIs" dxfId="10" priority="14" operator="equal">
      <formula>"Alto"</formula>
    </cfRule>
    <cfRule type="cellIs" dxfId="9" priority="13" operator="equal">
      <formula>"Extremo"</formula>
    </cfRule>
    <cfRule type="cellIs" dxfId="8" priority="16" operator="equal">
      <formula>"Bajo"</formula>
    </cfRule>
  </conditionalFormatting>
  <conditionalFormatting sqref="AI32">
    <cfRule type="cellIs" dxfId="7" priority="8" operator="equal">
      <formula>"Bajo"</formula>
    </cfRule>
    <cfRule type="cellIs" dxfId="6" priority="7" operator="equal">
      <formula>"Moderado"</formula>
    </cfRule>
    <cfRule type="cellIs" dxfId="5" priority="6" operator="equal">
      <formula>"Alto"</formula>
    </cfRule>
    <cfRule type="cellIs" dxfId="4" priority="5" operator="equal">
      <formula>"Extremo"</formula>
    </cfRule>
  </conditionalFormatting>
  <conditionalFormatting sqref="AI37">
    <cfRule type="cellIs" dxfId="3" priority="1" operator="equal">
      <formula>"Extremo"</formula>
    </cfRule>
    <cfRule type="cellIs" dxfId="2" priority="2" operator="equal">
      <formula>"Alto"</formula>
    </cfRule>
    <cfRule type="cellIs" dxfId="1" priority="4" operator="equal">
      <formula>"Bajo"</formula>
    </cfRule>
    <cfRule type="cellIs" dxfId="0" priority="3" operator="equal">
      <formula>"Moderado"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4">
        <x14:dataValidation type="list" allowBlank="1" showInputMessage="1" showErrorMessage="1" xr:uid="{00000000-0002-0000-0200-000000000000}">
          <x14:formula1>
            <xm:f>'Tabla Valoración controles'!$D$4:$D$6</xm:f>
          </x14:formula1>
          <xm:sqref>V9:V10</xm:sqref>
        </x14:dataValidation>
        <x14:dataValidation type="list" allowBlank="1" showInputMessage="1" showErrorMessage="1" xr:uid="{00000000-0002-0000-0200-000001000000}">
          <x14:formula1>
            <xm:f>'Tabla Valoración controles'!$D$7:$D$8</xm:f>
          </x14:formula1>
          <xm:sqref>W9:W10</xm:sqref>
        </x14:dataValidation>
        <x14:dataValidation type="list" allowBlank="1" showInputMessage="1" showErrorMessage="1" xr:uid="{00000000-0002-0000-0200-000002000000}">
          <x14:formula1>
            <xm:f>'Tabla Valoración controles'!$D$9:$D$10</xm:f>
          </x14:formula1>
          <xm:sqref>Y9:Y10</xm:sqref>
        </x14:dataValidation>
        <x14:dataValidation type="list" allowBlank="1" showInputMessage="1" showErrorMessage="1" xr:uid="{00000000-0002-0000-0200-000003000000}">
          <x14:formula1>
            <xm:f>'Tabla Valoración controles'!$D$11:$D$12</xm:f>
          </x14:formula1>
          <xm:sqref>Z9:Z10</xm:sqref>
        </x14:dataValidation>
        <x14:dataValidation type="list" allowBlank="1" showInputMessage="1" showErrorMessage="1" xr:uid="{00000000-0002-0000-0200-000004000000}">
          <x14:formula1>
            <xm:f>'Tabla Valoración controles'!$D$13:$D$14</xm:f>
          </x14:formula1>
          <xm:sqref>AA9:AA10</xm:sqref>
        </x14:dataValidation>
        <x14:dataValidation type="list" allowBlank="1" showInputMessage="1" showErrorMessage="1" xr:uid="{00000000-0002-0000-0200-000005000000}">
          <x14:formula1>
            <xm:f>'Opciones Tratamiento'!$E$2:$E$4</xm:f>
          </x14:formula1>
          <xm:sqref>C9</xm:sqref>
        </x14:dataValidation>
        <x14:dataValidation type="list" allowBlank="1" showInputMessage="1" showErrorMessage="1" xr:uid="{00000000-0002-0000-0200-000006000000}">
          <x14:formula1>
            <xm:f>'Opciones Tratamiento'!$B$2:$B$5</xm:f>
          </x14:formula1>
          <xm:sqref>AJ9:AJ10</xm:sqref>
        </x14:dataValidation>
        <x14:dataValidation type="list" allowBlank="1" showInputMessage="1" showErrorMessage="1" xr:uid="{00000000-0002-0000-0200-000007000000}">
          <x14:formula1>
            <xm:f>'Opciones Tratamiento'!$B$13:$B$19</xm:f>
          </x14:formula1>
          <xm:sqref>G9</xm:sqref>
        </x14:dataValidation>
        <x14:dataValidation type="list" allowBlank="1" showInputMessage="1" showErrorMessage="1" xr:uid="{00000000-0002-0000-0200-000008000000}">
          <x14:formula1>
            <xm:f>'G:\MAPAS DE RIESGOS GENERAL\MAPA DE RIESGOS CORRUPCIÓN 2023\CORRUPCION\PROCESOS DE APOYO\[RIESGOS CORRUPCION ALMACEN  2023.xlsx]Opciones Tratamiento'!#REF!</xm:f>
          </x14:formula1>
          <xm:sqref>AJ11 G11 C11</xm:sqref>
        </x14:dataValidation>
        <x14:dataValidation type="list" allowBlank="1" showInputMessage="1" showErrorMessage="1" xr:uid="{00000000-0002-0000-0200-000009000000}">
          <x14:formula1>
            <xm:f>'G:\MAPAS DE RIESGOS GENERAL\MAPA DE RIESGOS CORRUPCIÓN 2023\CORRUPCION\PROCESOS DE APOYO\[RIESGOS CORRUPCION ALMACEN  2023.xlsx]Tabla Valoración controles'!#REF!</xm:f>
          </x14:formula1>
          <xm:sqref>V11:W11 Y11:AA11</xm:sqref>
        </x14:dataValidation>
        <x14:dataValidation type="custom" allowBlank="1" showInputMessage="1" showErrorMessage="1" error="Recuerde que las acciones se generan bajo la medida de mitigar el riesgo" xr:uid="{00000000-0002-0000-0200-00000A000000}">
          <x14:formula1>
            <xm:f>IF(OR(AJ12='G:\MAPAS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Tratamiento'!#REF!),ISBLANK(AJ12),ISTEXT(AJ12))</xm:f>
          </x14:formula1>
          <xm:sqref>AO12</xm:sqref>
        </x14:dataValidation>
        <x14:dataValidation type="custom" allowBlank="1" showInputMessage="1" showErrorMessage="1" error="Recuerde que las acciones se generan bajo la medida de mitigar el riesgo" xr:uid="{00000000-0002-0000-0200-00000B000000}">
          <x14:formula1>
            <xm:f>IF(OR(AJ12='G:\MAPAS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Tratamiento'!#REF!),ISBLANK(AJ12),ISTEXT(AJ12))</xm:f>
          </x14:formula1>
          <xm:sqref>AN12</xm:sqref>
        </x14:dataValidation>
        <x14:dataValidation type="custom" allowBlank="1" showInputMessage="1" showErrorMessage="1" error="Recuerde que las acciones se generan bajo la medida de mitigar el riesgo" xr:uid="{00000000-0002-0000-0200-00000C000000}">
          <x14:formula1>
            <xm:f>IF(OR(AJ12='G:\MAPAS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Tratamiento'!#REF!),ISBLANK(AJ12),ISTEXT(AJ12))</xm:f>
          </x14:formula1>
          <xm:sqref>AM12</xm:sqref>
        </x14:dataValidation>
        <x14:dataValidation type="custom" allowBlank="1" showInputMessage="1" showErrorMessage="1" error="Recuerde que las acciones se generan bajo la medida de mitigar el riesgo" xr:uid="{00000000-0002-0000-0200-00000D000000}">
          <x14:formula1>
            <xm:f>IF(OR(AJ12='G:\MAPAS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Tratamiento'!#REF!),ISBLANK(AJ12),ISTEXT(AJ12))</xm:f>
          </x14:formula1>
          <xm:sqref>AL12</xm:sqref>
        </x14:dataValidation>
        <x14:dataValidation type="custom" allowBlank="1" showInputMessage="1" showErrorMessage="1" error="Recuerde que las acciones se generan bajo la medida de mitigar el riesgo" xr:uid="{00000000-0002-0000-0200-00000E000000}">
          <x14:formula1>
            <xm:f>IF(OR(AJ12='G:\MAPAS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Tratamiento'!#REF!,AJ12='G:\MAPAS DE RIESGOS GENERAL\MAPA DE RIESGOS CORRUPCIÓN 2023\CORRUPCION\PROCESOS DE APOYO\[RIESGOS CORRUPCION BIOMEDICA 2023.xlsx]Opciones Tratamiento'!#REF!),ISBLANK(AJ12),ISTEXT(AJ12))</xm:f>
          </x14:formula1>
          <xm:sqref>AK12</xm:sqref>
        </x14:dataValidation>
        <x14:dataValidation type="list" allowBlank="1" showInputMessage="1" showErrorMessage="1" xr:uid="{00000000-0002-0000-0200-00000F000000}">
          <x14:formula1>
            <xm:f>'G:\MAPAS DE RIESGOS GENERAL\MAPA DE RIESGOS CORRUPCIÓN 2023\CORRUPCION\PROCESOS DE APOYO\[RIESGOS CORRUPCION BIOMEDICA 2023.xlsx]Opciones Tratamiento'!#REF!</xm:f>
          </x14:formula1>
          <xm:sqref>AJ12 AP12 G12:G14 C12:C14</xm:sqref>
        </x14:dataValidation>
        <x14:dataValidation type="list" allowBlank="1" showInputMessage="1" showErrorMessage="1" xr:uid="{00000000-0002-0000-0200-000010000000}">
          <x14:formula1>
            <xm:f>'G:\MAPAS DE RIESGOS GENERAL\MAPA DE RIESGOS CORRUPCIÓN 2023\CORRUPCION\PROCESOS DE APOYO\[RIESGOS CORRUPCION BIOMEDICA 2023.xlsx]Tabla Valoración controles'!#REF!</xm:f>
          </x14:formula1>
          <xm:sqref>V12:W14 Y12:AA14</xm:sqref>
        </x14:dataValidation>
        <x14:dataValidation type="custom" allowBlank="1" showInputMessage="1" showErrorMessage="1" error="Recuerde que las acciones se generan bajo la medida de mitigar el riesgo" xr:uid="{00000000-0002-0000-0200-000011000000}">
          <x14:formula1>
            <xm:f>IF(OR(AJ15='G:\MAPAS DE RIESGOS GENERAL\MAPA DE RIESGOS CORRUPCIÓN 2023\CORRUPCION\PROCESOS DE APOYO\[RIESGOS CORRUPCION CONTRATACION 2023.xlsx]Opciones Tratamiento'!#REF!,AJ15='G:\MAPAS DE RIESGOS GENERAL\MAPA DE RIESGOS CORRUPCIÓN 2023\CORRUPCION\PROCESOS DE APOYO\[RIESGOS CORRUPCION CONTRATACION 2023.xlsx]Opciones Tratamiento'!#REF!,AJ15='G:\MAPAS DE RIESGOS GENERAL\MAPA DE RIESGOS CORRUPCIÓN 2023\CORRUPCION\PROCESOS DE APOYO\[RIESGOS CORRUPCION CONTRATACION 2023.xlsx]Opciones Tratamiento'!#REF!),ISBLANK(AJ15),ISTEXT(AJ15))</xm:f>
          </x14:formula1>
          <xm:sqref>AK15:AP15 AK17:AP17</xm:sqref>
        </x14:dataValidation>
        <x14:dataValidation type="list" allowBlank="1" showInputMessage="1" showErrorMessage="1" xr:uid="{00000000-0002-0000-0200-000012000000}">
          <x14:formula1>
            <xm:f>'G:\MAPAS DE RIESGOS GENERAL\MAPA DE RIESGOS CORRUPCIÓN 2023\CORRUPCION\PROCESOS DE APOYO\[RIESGOS CORRUPCION CONTRATACION 2023.xlsx]Opciones Tratamiento'!#REF!</xm:f>
          </x14:formula1>
          <xm:sqref>AJ15 AJ17 G15:G17 C15:C17</xm:sqref>
        </x14:dataValidation>
        <x14:dataValidation type="list" allowBlank="1" showInputMessage="1" showErrorMessage="1" xr:uid="{00000000-0002-0000-0200-000013000000}">
          <x14:formula1>
            <xm:f>'Opciones Tratamiento'!$B$9:$B$10</xm:f>
          </x14:formula1>
          <xm:sqref>AP9:AP11</xm:sqref>
        </x14:dataValidation>
        <x14:dataValidation type="custom" allowBlank="1" showInputMessage="1" showErrorMessage="1" error="Recuerde que las acciones se generan bajo la medida de mitigar el riesgo" xr:uid="{00000000-0002-0000-0200-000014000000}">
          <x14:formula1>
            <xm:f>IF(OR(#REF!='G:\MAPAS DE RIESGOS GENERAL\MAPA DE RIESGOS CORRUPCIÓN 2023\CORRUPCION\PROCESOS DE APOYO\[RIESGOS CORRUPCION ALMACEN  2023.xlsx]Opciones Tratamiento'!#REF!,#REF!='G:\MAPAS DE RIESGOS GENERAL\MAPA DE RIESGOS CORRUPCIÓN 2023\CORRUPCION\PROCESOS DE APOYO\[RIESGOS CORRUPCION ALMACEN  2023.xlsx]Opciones Tratamiento'!#REF!,#REF!='G:\MAPAS DE RIESGOS GENERAL\MAPA DE RIESGOS CORRUPCIÓN 2023\CORRUPCION\PROCESOS DE APOYO\[RIESGOS CORRUPCION ALMACEN  2023.xlsx]Opciones Tratamiento'!#REF!),ISBLANK(#REF!),ISTEXT(#REF!))</xm:f>
          </x14:formula1>
          <xm:sqref>AK11:AO11</xm:sqref>
        </x14:dataValidation>
        <x14:dataValidation type="custom" allowBlank="1" showInputMessage="1" showErrorMessage="1" error="Recuerde que las acciones se generan bajo la medida de mitigar el riesgo" xr:uid="{00000000-0002-0000-0200-000015000000}">
          <x14:formula1>
            <xm:f>IF(OR(#REF!='Opciones Tratamiento'!$B$2,#REF!='Opciones Tratamiento'!$B$3,#REF!='Opciones Tratamiento'!$B$4),ISBLANK(#REF!),ISTEXT(#REF!))</xm:f>
          </x14:formula1>
          <xm:sqref>AK9:AK10</xm:sqref>
        </x14:dataValidation>
        <x14:dataValidation type="custom" allowBlank="1" showInputMessage="1" showErrorMessage="1" error="Recuerde que las acciones se generan bajo la medida de mitigar el riesgo" xr:uid="{00000000-0002-0000-0200-000016000000}">
          <x14:formula1>
            <xm:f>IF(OR(#REF!='Opciones Tratamiento'!$B$2,#REF!='Opciones Tratamiento'!$B$3,#REF!='Opciones Tratamiento'!$B$4),ISBLANK(#REF!),ISTEXT(#REF!))</xm:f>
          </x14:formula1>
          <xm:sqref>AM9:AM10</xm:sqref>
        </x14:dataValidation>
        <x14:dataValidation type="custom" allowBlank="1" showInputMessage="1" showErrorMessage="1" error="Recuerde que las acciones se generan bajo la medida de mitigar el riesgo" xr:uid="{00000000-0002-0000-0200-000017000000}">
          <x14:formula1>
            <xm:f>IF(OR(#REF!='Opciones Tratamiento'!$B$2,#REF!='Opciones Tratamiento'!$B$3,#REF!='Opciones Tratamiento'!$B$4),ISBLANK(#REF!),ISTEXT(#REF!))</xm:f>
          </x14:formula1>
          <xm:sqref>AN9:AN10</xm:sqref>
        </x14:dataValidation>
        <x14:dataValidation type="custom" allowBlank="1" showInputMessage="1" showErrorMessage="1" error="Recuerde que las acciones se generan bajo la medida de mitigar el riesgo" xr:uid="{00000000-0002-0000-0200-000018000000}">
          <x14:formula1>
            <xm:f>IF(OR(#REF!='Opciones Tratamiento'!$B$2,#REF!='Opciones Tratamiento'!$B$3,#REF!='Opciones Tratamiento'!$B$4),ISBLANK(#REF!),ISTEXT(#REF!))</xm:f>
          </x14:formula1>
          <xm:sqref>AO9</xm:sqref>
        </x14:dataValidation>
        <x14:dataValidation type="list" allowBlank="1" showInputMessage="1" showErrorMessage="1" xr:uid="{00000000-0002-0000-0200-000019000000}">
          <x14:formula1>
            <xm:f>'G:\MAPAS DE RIESGOS GENERAL\MAPA DE RIESGOS CORRUPCIÓN 2023\CORRUPCION\PROCESOS DE APOYO\[RIESGOS CORRUPCION CONTRATACION 2023.xlsx]Tabla Valoración controles'!#REF!</xm:f>
          </x14:formula1>
          <xm:sqref>V15:W17 Y15:AA17</xm:sqref>
        </x14:dataValidation>
        <x14:dataValidation type="list" allowBlank="1" showInputMessage="1" showErrorMessage="1" xr:uid="{00000000-0002-0000-0200-00001A000000}">
          <x14:formula1>
            <xm:f>'G:\MAPAS DE RIESGOS GENERAL\MAPA DE RIESGOS CORRUPCIÓN 2023\CORRUPCION\PROCESOS DE APOYO\[RIESGOS CORRUPCION FINANCIERA 2023.xlsx]Opciones Tratamiento'!#REF!</xm:f>
          </x14:formula1>
          <xm:sqref>C18 AP18 AJ18 G18</xm:sqref>
        </x14:dataValidation>
        <x14:dataValidation type="list" allowBlank="1" showInputMessage="1" showErrorMessage="1" xr:uid="{00000000-0002-0000-0200-00001B000000}">
          <x14:formula1>
            <xm:f>'G:\MAPAS DE RIESGOS GENERAL\MAPA DE RIESGOS CORRUPCIÓN 2023\CORRUPCION\PROCESOS DE APOYO\[RIESGOS CORRUPCION FINANCIERA 2023.xlsx]Tabla Valoración controles'!#REF!</xm:f>
          </x14:formula1>
          <xm:sqref>V18:W18 Y18:AA18</xm:sqref>
        </x14:dataValidation>
        <x14:dataValidation type="custom" allowBlank="1" showInputMessage="1" showErrorMessage="1" error="Recuerde que las acciones se generan bajo la medida de mitigar el riesgo" xr:uid="{00000000-0002-0000-0200-00001C000000}">
          <x14:formula1>
            <xm:f>IF(OR(AJ22='G:\MAPAS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Tratamiento'!#REF!),ISBLANK(AJ22),ISTEXT(AJ22))</xm:f>
          </x14:formula1>
          <xm:sqref>AO22</xm:sqref>
        </x14:dataValidation>
        <x14:dataValidation type="custom" allowBlank="1" showInputMessage="1" showErrorMessage="1" error="Recuerde que las acciones se generan bajo la medida de mitigar el riesgo" xr:uid="{00000000-0002-0000-0200-00001D000000}">
          <x14:formula1>
            <xm:f>IF(OR(AJ22='G:\MAPAS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Tratamiento'!#REF!),ISBLANK(AJ22),ISTEXT(AJ22))</xm:f>
          </x14:formula1>
          <xm:sqref>AN22</xm:sqref>
        </x14:dataValidation>
        <x14:dataValidation type="custom" allowBlank="1" showInputMessage="1" showErrorMessage="1" error="Recuerde que las acciones se generan bajo la medida de mitigar el riesgo" xr:uid="{00000000-0002-0000-0200-00001E000000}">
          <x14:formula1>
            <xm:f>IF(OR(AJ22='G:\MAPAS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Tratamiento'!#REF!),ISBLANK(AJ22),ISTEXT(AJ22))</xm:f>
          </x14:formula1>
          <xm:sqref>AM22</xm:sqref>
        </x14:dataValidation>
        <x14:dataValidation type="custom" allowBlank="1" showInputMessage="1" showErrorMessage="1" error="Recuerde que las acciones se generan bajo la medida de mitigar el riesgo" xr:uid="{00000000-0002-0000-0200-00001F000000}">
          <x14:formula1>
            <xm:f>IF(OR(AJ22='G:\MAPAS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Tratamiento'!#REF!),ISBLANK(AJ22),ISTEXT(AJ22))</xm:f>
          </x14:formula1>
          <xm:sqref>AL22</xm:sqref>
        </x14:dataValidation>
        <x14:dataValidation type="custom" allowBlank="1" showInputMessage="1" showErrorMessage="1" error="Recuerde que las acciones se generan bajo la medida de mitigar el riesgo" xr:uid="{00000000-0002-0000-0200-000020000000}">
          <x14:formula1>
            <xm:f>IF(OR(AJ22='G:\MAPAS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Tratamiento'!#REF!,AJ22='G:\MAPAS DE RIESGOS GENERAL\MAPA DE RIESGOS CORRUPCIÓN 2023\CORRUPCION\PROCESOS DE APOYO\[RIESGOS CORRUPCION GESTION DOCUMENTAL 2023.xlsx]Opciones Tratamiento'!#REF!),ISBLANK(AJ22),ISTEXT(AJ22))</xm:f>
          </x14:formula1>
          <xm:sqref>AK22</xm:sqref>
        </x14:dataValidation>
        <x14:dataValidation type="list" allowBlank="1" showInputMessage="1" showErrorMessage="1" xr:uid="{00000000-0002-0000-0200-000021000000}">
          <x14:formula1>
            <xm:f>'G:\MAPAS DE RIESGOS GENERAL\MAPA DE RIESGOS CORRUPCIÓN 2023\CORRUPCION\PROCESOS DE APOYO\[RIESGOS CORRUPCION GESTION DOCUMENTAL 2023.xlsx]Opciones Tratamiento'!#REF!</xm:f>
          </x14:formula1>
          <xm:sqref>AJ22 AP22 G22:G23 C22:C23</xm:sqref>
        </x14:dataValidation>
        <x14:dataValidation type="list" allowBlank="1" showInputMessage="1" showErrorMessage="1" xr:uid="{00000000-0002-0000-0200-000022000000}">
          <x14:formula1>
            <xm:f>'G:\MAPAS DE RIESGOS GENERAL\MAPA DE RIESGOS CORRUPCIÓN 2023\CORRUPCION\PROCESOS DE APOYO\[RIESGOS CORRUPCION GESTION DOCUMENTAL 2023.xlsx]Tabla Valoración controles'!#REF!</xm:f>
          </x14:formula1>
          <xm:sqref>V22:W23 Y22:AA23</xm:sqref>
        </x14:dataValidation>
        <x14:dataValidation type="list" allowBlank="1" showInputMessage="1" showErrorMessage="1" xr:uid="{00000000-0002-0000-0200-000023000000}">
          <x14:formula1>
            <xm:f>'G:\MAPAS DE RIESGOS GENERAL\MAPA DE RIESGOS CORRUPCIÓN 2023\CORRUPCION\PROCESOS DE APOYO\[RIESGOS CORRUPCION JURIDICA 2023.xlsx]Opciones Tratamiento'!#REF!</xm:f>
          </x14:formula1>
          <xm:sqref>AJ24 AP24 G24 C24</xm:sqref>
        </x14:dataValidation>
        <x14:dataValidation type="list" allowBlank="1" showInputMessage="1" showErrorMessage="1" xr:uid="{00000000-0002-0000-0200-000024000000}">
          <x14:formula1>
            <xm:f>'G:\MAPAS DE RIESGOS GENERAL\MAPA DE RIESGOS CORRUPCIÓN 2023\CORRUPCION\PROCESOS DE APOYO\[RIESGOS CORRUPCION JURIDICA 2023.xlsx]Tabla Valoración controles'!#REF!</xm:f>
          </x14:formula1>
          <xm:sqref>V24:W24 Y24:AA24</xm:sqref>
        </x14:dataValidation>
        <x14:dataValidation type="custom" allowBlank="1" showInputMessage="1" showErrorMessage="1" error="Recuerde que las acciones se generan bajo la medida de mitigar el riesgo" xr:uid="{00000000-0002-0000-0200-000025000000}">
          <x14:formula1>
            <xm:f>IF(OR(AJ25='G:\MAPAS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Tratamiento'!#REF!),ISBLANK(AJ25),ISTEXT(AJ25))</xm:f>
          </x14:formula1>
          <xm:sqref>AO25</xm:sqref>
        </x14:dataValidation>
        <x14:dataValidation type="custom" allowBlank="1" showInputMessage="1" showErrorMessage="1" error="Recuerde que las acciones se generan bajo la medida de mitigar el riesgo" xr:uid="{00000000-0002-0000-0200-000026000000}">
          <x14:formula1>
            <xm:f>IF(OR(AJ25='G:\MAPAS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Tratamiento'!#REF!),ISBLANK(AJ25),ISTEXT(AJ25))</xm:f>
          </x14:formula1>
          <xm:sqref>AN25</xm:sqref>
        </x14:dataValidation>
        <x14:dataValidation type="custom" allowBlank="1" showInputMessage="1" showErrorMessage="1" error="Recuerde que las acciones se generan bajo la medida de mitigar el riesgo" xr:uid="{00000000-0002-0000-0200-000027000000}">
          <x14:formula1>
            <xm:f>IF(OR(AJ25='G:\MAPAS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Tratamiento'!#REF!),ISBLANK(AJ25),ISTEXT(AJ25))</xm:f>
          </x14:formula1>
          <xm:sqref>AM25</xm:sqref>
        </x14:dataValidation>
        <x14:dataValidation type="custom" allowBlank="1" showInputMessage="1" showErrorMessage="1" error="Recuerde que las acciones se generan bajo la medida de mitigar el riesgo" xr:uid="{00000000-0002-0000-0200-000028000000}">
          <x14:formula1>
            <xm:f>IF(OR(AJ25='G:\MAPAS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Tratamiento'!#REF!),ISBLANK(AJ25),ISTEXT(AJ25))</xm:f>
          </x14:formula1>
          <xm:sqref>AL25</xm:sqref>
        </x14:dataValidation>
        <x14:dataValidation type="custom" allowBlank="1" showInputMessage="1" showErrorMessage="1" error="Recuerde que las acciones se generan bajo la medida de mitigar el riesgo" xr:uid="{00000000-0002-0000-0200-000029000000}">
          <x14:formula1>
            <xm:f>IF(OR(AJ25='G:\MAPAS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Tratamiento'!#REF!,AJ25='G:\MAPAS DE RIESGOS GENERAL\MAPA DE RIESGOS CORRUPCIÓN 2023\CORRUPCION\PROCESOS DE APOYO\[RIESGOS CORRUPCION MANTENIMIENTO 2023.xlsx]Opciones Tratamiento'!#REF!),ISBLANK(AJ25),ISTEXT(AJ25))</xm:f>
          </x14:formula1>
          <xm:sqref>AK25</xm:sqref>
        </x14:dataValidation>
        <x14:dataValidation type="list" allowBlank="1" showInputMessage="1" showErrorMessage="1" xr:uid="{00000000-0002-0000-0200-00002A000000}">
          <x14:formula1>
            <xm:f>'G:\MAPAS DE RIESGOS GENERAL\MAPA DE RIESGOS CORRUPCIÓN 2023\CORRUPCION\PROCESOS DE APOYO\[RIESGOS CORRUPCION MANTENIMIENTO 2023.xlsx]Opciones Tratamiento'!#REF!</xm:f>
          </x14:formula1>
          <xm:sqref>AJ25 AP25 G25:G26 C25:C26</xm:sqref>
        </x14:dataValidation>
        <x14:dataValidation type="list" allowBlank="1" showInputMessage="1" showErrorMessage="1" xr:uid="{00000000-0002-0000-0200-00002B000000}">
          <x14:formula1>
            <xm:f>'G:\MAPAS DE RIESGOS GENERAL\MAPA DE RIESGOS CORRUPCIÓN 2023\CORRUPCION\PROCESOS DE APOYO\[RIESGOS CORRUPCION MANTENIMIENTO 2023.xlsx]Tabla Valoración controles'!#REF!</xm:f>
          </x14:formula1>
          <xm:sqref>V25:W26 Y25:AA26</xm:sqref>
        </x14:dataValidation>
        <x14:dataValidation type="custom" allowBlank="1" showInputMessage="1" showErrorMessage="1" error="Recuerde que las acciones se generan bajo la medida de mitigar el riesgo" xr:uid="{00000000-0002-0000-0200-00002C000000}">
          <x14:formula1>
            <xm:f>IF(OR(AJ24='G:\MAPAS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Tratamiento'!#REF!),ISBLANK(AJ24),ISTEXT(AJ24))</xm:f>
          </x14:formula1>
          <xm:sqref>AO24</xm:sqref>
        </x14:dataValidation>
        <x14:dataValidation type="custom" allowBlank="1" showInputMessage="1" showErrorMessage="1" error="Recuerde que las acciones se generan bajo la medida de mitigar el riesgo" xr:uid="{00000000-0002-0000-0200-00002D000000}">
          <x14:formula1>
            <xm:f>IF(OR(AJ24='G:\MAPAS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Tratamiento'!#REF!),ISBLANK(AJ24),ISTEXT(AJ24))</xm:f>
          </x14:formula1>
          <xm:sqref>AN24</xm:sqref>
        </x14:dataValidation>
        <x14:dataValidation type="custom" allowBlank="1" showInputMessage="1" showErrorMessage="1" error="Recuerde que las acciones se generan bajo la medida de mitigar el riesgo" xr:uid="{00000000-0002-0000-0200-00002E000000}">
          <x14:formula1>
            <xm:f>IF(OR(AJ24='G:\MAPAS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Tratamiento'!#REF!),ISBLANK(AJ24),ISTEXT(AJ24))</xm:f>
          </x14:formula1>
          <xm:sqref>AM24</xm:sqref>
        </x14:dataValidation>
        <x14:dataValidation type="custom" allowBlank="1" showInputMessage="1" showErrorMessage="1" error="Recuerde que las acciones se generan bajo la medida de mitigar el riesgo" xr:uid="{00000000-0002-0000-0200-00002F000000}">
          <x14:formula1>
            <xm:f>IF(OR(AJ24='G:\MAPAS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Tratamiento'!#REF!),ISBLANK(AJ24),ISTEXT(AJ24))</xm:f>
          </x14:formula1>
          <xm:sqref>AL24</xm:sqref>
        </x14:dataValidation>
        <x14:dataValidation type="custom" allowBlank="1" showInputMessage="1" showErrorMessage="1" error="Recuerde que las acciones se generan bajo la medida de mitigar el riesgo" xr:uid="{00000000-0002-0000-0200-000030000000}">
          <x14:formula1>
            <xm:f>IF(OR(AJ24='G:\MAPAS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Tratamiento'!#REF!,AJ24='G:\MAPAS DE RIESGOS GENERAL\MAPA DE RIESGOS CORRUPCIÓN 2023\CORRUPCION\PROCESOS DE APOYO\[RIESGOS CORRUPCION JURIDICA 2023.xlsx]Opciones Tratamiento'!#REF!),ISBLANK(AJ24),ISTEXT(AJ24))</xm:f>
          </x14:formula1>
          <xm:sqref>AK24</xm:sqref>
        </x14:dataValidation>
        <x14:dataValidation type="custom" allowBlank="1" showInputMessage="1" showErrorMessage="1" error="Recuerde que las acciones se generan bajo la medida de mitigar el riesgo" xr:uid="{00000000-0002-0000-0200-000031000000}">
          <x14:formula1>
            <xm:f>IF(OR(AJ27='G:\MAPAS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Tratamiento'!#REF!),ISBLANK(AJ27),ISTEXT(AJ27))</xm:f>
          </x14:formula1>
          <xm:sqref>AO27:AO28</xm:sqref>
        </x14:dataValidation>
        <x14:dataValidation type="custom" allowBlank="1" showInputMessage="1" showErrorMessage="1" error="Recuerde que las acciones se generan bajo la medida de mitigar el riesgo" xr:uid="{00000000-0002-0000-0200-000032000000}">
          <x14:formula1>
            <xm:f>IF(OR(AJ27='G:\MAPAS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Tratamiento'!#REF!),ISBLANK(AJ27),ISTEXT(AJ27))</xm:f>
          </x14:formula1>
          <xm:sqref>AN27:AN28</xm:sqref>
        </x14:dataValidation>
        <x14:dataValidation type="custom" allowBlank="1" showInputMessage="1" showErrorMessage="1" error="Recuerde que las acciones se generan bajo la medida de mitigar el riesgo" xr:uid="{00000000-0002-0000-0200-000033000000}">
          <x14:formula1>
            <xm:f>IF(OR(AJ27='G:\MAPAS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Tratamiento'!#REF!),ISBLANK(AJ27),ISTEXT(AJ27))</xm:f>
          </x14:formula1>
          <xm:sqref>AM27:AM28</xm:sqref>
        </x14:dataValidation>
        <x14:dataValidation type="custom" allowBlank="1" showInputMessage="1" showErrorMessage="1" error="Recuerde que las acciones se generan bajo la medida de mitigar el riesgo" xr:uid="{00000000-0002-0000-0200-000034000000}">
          <x14:formula1>
            <xm:f>IF(OR(AJ27='G:\MAPAS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Tratamiento'!#REF!),ISBLANK(AJ27),ISTEXT(AJ27))</xm:f>
          </x14:formula1>
          <xm:sqref>AL27:AL28</xm:sqref>
        </x14:dataValidation>
        <x14:dataValidation type="custom" allowBlank="1" showInputMessage="1" showErrorMessage="1" error="Recuerde que las acciones se generan bajo la medida de mitigar el riesgo" xr:uid="{00000000-0002-0000-0200-000035000000}">
          <x14:formula1>
            <xm:f>IF(OR(AJ27='G:\MAPAS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Tratamiento'!#REF!,AJ27='G:\MAPAS DE RIESGOS GENERAL\MAPA DE RIESGOS CORRUPCIÓN 2023\CORRUPCION\PROCESOS DE APOYO\[RIESGOS CORRUPCION SISTEMAS 2023.xlsx]Opciones Tratamiento'!#REF!),ISBLANK(AJ27),ISTEXT(AJ27))</xm:f>
          </x14:formula1>
          <xm:sqref>AK27:AK28</xm:sqref>
        </x14:dataValidation>
        <x14:dataValidation type="list" allowBlank="1" showInputMessage="1" showErrorMessage="1" xr:uid="{00000000-0002-0000-0200-000036000000}">
          <x14:formula1>
            <xm:f>'G:\MAPAS DE RIESGOS GENERAL\MAPA DE RIESGOS CORRUPCIÓN 2023\CORRUPCION\PROCESOS DE APOYO\[RIESGOS CORRUPCION SISTEMAS 2023.xlsx]Opciones Tratamiento'!#REF!</xm:f>
          </x14:formula1>
          <xm:sqref>AJ27 AP27:AP28 G27:G29 C27:C29</xm:sqref>
        </x14:dataValidation>
        <x14:dataValidation type="list" allowBlank="1" showInputMessage="1" showErrorMessage="1" xr:uid="{00000000-0002-0000-0200-000037000000}">
          <x14:formula1>
            <xm:f>'G:\MAPAS DE RIESGOS GENERAL\MAPA DE RIESGOS CORRUPCIÓN 2023\CORRUPCION\PROCESOS DE APOYO\[RIESGOS CORRUPCION SISTEMAS 2023.xlsx]Tabla Valoración controles'!#REF!</xm:f>
          </x14:formula1>
          <xm:sqref>V27:W29 Y27:AA29</xm:sqref>
        </x14:dataValidation>
        <x14:dataValidation type="custom" allowBlank="1" showInputMessage="1" showErrorMessage="1" error="Recuerde que las acciones se generan bajo la medida de mitigar el riesgo" xr:uid="{00000000-0002-0000-0200-000038000000}">
          <x14:formula1>
            <xm:f>IF(OR(AJ30='G:\MAPAS DE RIESGOS GENERAL\MAPA DE RIESGOS CORRUPCIÓN 2023\CORRUPCION\PROCESOS ESTRATEGICOS\[RIESGOS CORRUPCION  QHSE 2023.xlsx]Opciones Tratamiento'!#REF!,AJ30='G:\MAPAS DE RIESGOS GENERAL\MAPA DE RIESGOS CORRUPCIÓN 2023\CORRUPCION\PROCESOS ESTRATEGICOS\[RIESGOS CORRUPCION  QHSE 2023.xlsx]Opciones Tratamiento'!#REF!,AJ30='G:\MAPAS DE RIESGOS GENERAL\MAPA DE RIESGOS CORRUPCIÓN 2023\CORRUPCION\PROCESOS ESTRATEGICOS\[RIESGOS CORRUPCION  QHSE 2023.xlsx]Opciones Tratamiento'!#REF!),ISBLANK(AJ30),ISTEXT(AJ30))</xm:f>
          </x14:formula1>
          <xm:sqref>AK30:AP31</xm:sqref>
        </x14:dataValidation>
        <x14:dataValidation type="list" allowBlank="1" showInputMessage="1" showErrorMessage="1" xr:uid="{00000000-0002-0000-0200-000039000000}">
          <x14:formula1>
            <xm:f>'G:\MAPAS DE RIESGOS GENERAL\MAPA DE RIESGOS CORRUPCIÓN 2023\CORRUPCION\PROCESOS ESTRATEGICOS\[RIESGOS CORRUPCION  QHSE 2023.xlsx]Opciones Tratamiento'!#REF!</xm:f>
          </x14:formula1>
          <xm:sqref>AJ30 G30:G31 C30:C31</xm:sqref>
        </x14:dataValidation>
        <x14:dataValidation type="list" allowBlank="1" showInputMessage="1" showErrorMessage="1" xr:uid="{00000000-0002-0000-0200-00003A000000}">
          <x14:formula1>
            <xm:f>'G:\MAPAS DE RIESGOS GENERAL\MAPA DE RIESGOS CORRUPCIÓN 2023\CORRUPCION\PROCESOS ESTRATEGICOS\[RIESGOS CORRUPCION  QHSE 2023.xlsx]Tabla Valoración controles'!#REF!</xm:f>
          </x14:formula1>
          <xm:sqref>V30:W31 Y30:AA31</xm:sqref>
        </x14:dataValidation>
        <x14:dataValidation type="list" allowBlank="1" showInputMessage="1" showErrorMessage="1" xr:uid="{00000000-0002-0000-0200-00003B000000}">
          <x14:formula1>
            <xm:f>'D:\2022\RIESGOS\MAPAS DE RIESGO\CORRUPCION\[RIESGOS CORRUPCION MANTENIMIENTO 2022.xlsx]Opciones Tratamiento'!#REF!</xm:f>
          </x14:formula1>
          <xm:sqref>AP33</xm:sqref>
        </x14:dataValidation>
        <x14:dataValidation type="custom" allowBlank="1" showInputMessage="1" showErrorMessage="1" error="Recuerde que las acciones se generan bajo la medida de mitigar el riesgo" xr:uid="{00000000-0002-0000-0200-00003C000000}">
          <x14:formula1>
            <xm:f>IF(OR(AJ33='D:\2022\RIESGOS\MAPAS DE RIESGO\CORRUPCION\[RIESGOS CORRUPCION MANTENIMIENTO 2022.xlsx]Opciones Tratamiento'!#REF!,AJ33='D:\2022\RIESGOS\MAPAS DE RIESGO\CORRUPCION\[RIESGOS CORRUPCION MANTENIMIENTO 2022.xlsx]Opciones Tratamiento'!#REF!,AJ33='D:\2022\RIESGOS\MAPAS DE RIESGO\CORRUPCION\[RIESGOS CORRUPCION MANTENIMIENTO 2022.xlsx]Opciones Tratamiento'!#REF!),ISBLANK(AJ33),ISTEXT(AJ33))</xm:f>
          </x14:formula1>
          <xm:sqref>AK33</xm:sqref>
        </x14:dataValidation>
        <x14:dataValidation type="custom" allowBlank="1" showInputMessage="1" showErrorMessage="1" error="Recuerde que las acciones se generan bajo la medida de mitigar el riesgo" xr:uid="{00000000-0002-0000-0200-00003D000000}">
          <x14:formula1>
            <xm:f>IF(OR(AJ33='D:\2022\RIESGOS\MAPAS DE RIESGO\CORRUPCION\[RIESGOS CORRUPCION MANTENIMIENTO 2022.xlsx]Opciones Tratamiento'!#REF!,AJ33='D:\2022\RIESGOS\MAPAS DE RIESGO\CORRUPCION\[RIESGOS CORRUPCION MANTENIMIENTO 2022.xlsx]Opciones Tratamiento'!#REF!,AJ33='D:\2022\RIESGOS\MAPAS DE RIESGO\CORRUPCION\[RIESGOS CORRUPCION MANTENIMIENTO 2022.xlsx]Opciones Tratamiento'!#REF!),ISBLANK(AJ33),ISTEXT(AJ33))</xm:f>
          </x14:formula1>
          <xm:sqref>AL33</xm:sqref>
        </x14:dataValidation>
        <x14:dataValidation type="custom" allowBlank="1" showInputMessage="1" showErrorMessage="1" error="Recuerde que las acciones se generan bajo la medida de mitigar el riesgo" xr:uid="{00000000-0002-0000-0200-00003E000000}">
          <x14:formula1>
            <xm:f>IF(OR(AJ33='D:\2022\RIESGOS\MAPAS DE RIESGO\CORRUPCION\[RIESGOS CORRUPCION MANTENIMIENTO 2022.xlsx]Opciones Tratamiento'!#REF!,AJ33='D:\2022\RIESGOS\MAPAS DE RIESGO\CORRUPCION\[RIESGOS CORRUPCION MANTENIMIENTO 2022.xlsx]Opciones Tratamiento'!#REF!,AJ33='D:\2022\RIESGOS\MAPAS DE RIESGO\CORRUPCION\[RIESGOS CORRUPCION MANTENIMIENTO 2022.xlsx]Opciones Tratamiento'!#REF!),ISBLANK(AJ33),ISTEXT(AJ33))</xm:f>
          </x14:formula1>
          <xm:sqref>AO33</xm:sqref>
        </x14:dataValidation>
        <x14:dataValidation type="custom" allowBlank="1" showInputMessage="1" showErrorMessage="1" error="Recuerde que las acciones se generan bajo la medida de mitigar el riesgo" xr:uid="{00000000-0002-0000-0200-00003F000000}">
          <x14:formula1>
            <xm:f>IF(OR(AJ32='G:\MAPAS DE RIESGOS GENERAL\MAPA DE RIESGOS CORRUPCIÓN 2023\CORRUPCION\PROCESOS ESTRATEGICOS\[RIESGOS CORRUPCION TALENTO HUMANO 2023.xlsx]Opciones Tratamiento'!#REF!,AJ32='G:\MAPAS DE RIESGOS GENERAL\MAPA DE RIESGOS CORRUPCIÓN 2023\CORRUPCION\PROCESOS ESTRATEGICOS\[RIESGOS CORRUPCION TALENTO HUMANO 2023.xlsx]Opciones Tratamiento'!#REF!,AJ32='G:\MAPAS DE RIESGOS GENERAL\MAPA DE RIESGOS CORRUPCIÓN 2023\CORRUPCION\PROCESOS ESTRATEGICOS\[RIESGOS CORRUPCION TALENTO HUMANO 2023.xlsx]Opciones Tratamiento'!#REF!),ISBLANK(AJ32),ISTEXT(AJ32))</xm:f>
          </x14:formula1>
          <xm:sqref>AK32:AP32</xm:sqref>
        </x14:dataValidation>
        <x14:dataValidation type="list" allowBlank="1" showInputMessage="1" showErrorMessage="1" xr:uid="{00000000-0002-0000-0200-000040000000}">
          <x14:formula1>
            <xm:f>'G:\MAPAS DE RIESGOS GENERAL\MAPA DE RIESGOS CORRUPCIÓN 2023\CORRUPCION\PROCESOS ESTRATEGICOS\[RIESGOS CORRUPCION TALENTO HUMANO 2023.xlsx]Opciones Tratamiento'!#REF!</xm:f>
          </x14:formula1>
          <xm:sqref>C32:C34 AI33:AJ33 AJ32 G32:G34</xm:sqref>
        </x14:dataValidation>
        <x14:dataValidation type="list" allowBlank="1" showInputMessage="1" showErrorMessage="1" xr:uid="{00000000-0002-0000-0200-000041000000}">
          <x14:formula1>
            <xm:f>'G:\MAPAS DE RIESGOS GENERAL\MAPA DE RIESGOS CORRUPCIÓN 2023\CORRUPCION\PROCESOS ESTRATEGICOS\[RIESGOS CORRUPCION TALENTO HUMANO 2023.xlsx]Tabla Valoración controles'!#REF!</xm:f>
          </x14:formula1>
          <xm:sqref>V32:W34 Y32:AA34</xm:sqref>
        </x14:dataValidation>
        <x14:dataValidation type="custom" allowBlank="1" showInputMessage="1" showErrorMessage="1" error="Recuerde que las acciones se generan bajo la medida de mitigar el riesgo" xr:uid="{00000000-0002-0000-0200-000042000000}">
          <x14:formula1>
            <xm:f>IF(OR(AJ37='G:\MAPAS DE RIESGOS GENERAL\MAPA DE RIESGOS CORRUPCIÓN 2023\CORRUPCION\PROCESOS MISIONALES\[RIESGOS CORRUPCION FARMACIA  2023.xlsx]Opciones Tratamiento'!#REF!,AJ37='G:\MAPAS DE RIESGOS GENERAL\MAPA DE RIESGOS CORRUPCIÓN 2023\CORRUPCION\PROCESOS MISIONALES\[RIESGOS CORRUPCION FARMACIA  2023.xlsx]Opciones Tratamiento'!#REF!,AJ37='G:\MAPAS DE RIESGOS GENERAL\MAPA DE RIESGOS CORRUPCIÓN 2023\CORRUPCION\PROCESOS MISIONALES\[RIESGOS CORRUPCION FARMACIA  2023.xlsx]Opciones Tratamiento'!#REF!),ISBLANK(AJ37),ISTEXT(AJ37))</xm:f>
          </x14:formula1>
          <xm:sqref>AK37:AP37</xm:sqref>
        </x14:dataValidation>
        <x14:dataValidation type="list" allowBlank="1" showInputMessage="1" showErrorMessage="1" xr:uid="{00000000-0002-0000-0200-000043000000}">
          <x14:formula1>
            <xm:f>'G:\MAPAS DE RIESGOS GENERAL\MAPA DE RIESGOS CORRUPCIÓN 2023\CORRUPCION\PROCESOS MISIONALES\[RIESGOS CORRUPCION FARMACIA  2023.xlsx]Opciones Tratamiento'!#REF!</xm:f>
          </x14:formula1>
          <xm:sqref>AJ37 G37 C37</xm:sqref>
        </x14:dataValidation>
        <x14:dataValidation type="list" allowBlank="1" showInputMessage="1" showErrorMessage="1" xr:uid="{00000000-0002-0000-0200-000044000000}">
          <x14:formula1>
            <xm:f>'G:\MAPAS DE RIESGOS GENERAL\MAPA DE RIESGOS CORRUPCIÓN 2023\CORRUPCION\PROCESOS MISIONALES\[RIESGOS CORRUPCION FARMACIA  2023.xlsx]Tabla Valoración controles'!#REF!</xm:f>
          </x14:formula1>
          <xm:sqref>V37:W37 Y37:AA37</xm:sqref>
        </x14:dataValidation>
        <x14:dataValidation type="custom" allowBlank="1" showInputMessage="1" showErrorMessage="1" error="Recuerde que las acciones se generan bajo la medida de mitigar el riesgo" xr:uid="{00000000-0002-0000-0200-000045000000}">
          <x14:formula1>
            <xm:f>IF(OR(AJ18='G:\MAPAS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Tratamiento'!#REF!),ISBLANK(AJ18),ISTEXT(AJ18))</xm:f>
          </x14:formula1>
          <xm:sqref>AO18</xm:sqref>
        </x14:dataValidation>
        <x14:dataValidation type="custom" allowBlank="1" showInputMessage="1" showErrorMessage="1" error="Recuerde que las acciones se generan bajo la medida de mitigar el riesgo" xr:uid="{00000000-0002-0000-0200-000046000000}">
          <x14:formula1>
            <xm:f>IF(OR(AJ18='G:\MAPAS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Tratamiento'!#REF!),ISBLANK(AJ18),ISTEXT(AJ18))</xm:f>
          </x14:formula1>
          <xm:sqref>AN18</xm:sqref>
        </x14:dataValidation>
        <x14:dataValidation type="custom" allowBlank="1" showInputMessage="1" showErrorMessage="1" error="Recuerde que las acciones se generan bajo la medida de mitigar el riesgo" xr:uid="{00000000-0002-0000-0200-000047000000}">
          <x14:formula1>
            <xm:f>IF(OR(AJ18='G:\MAPAS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Tratamiento'!#REF!),ISBLANK(AJ18),ISTEXT(AJ18))</xm:f>
          </x14:formula1>
          <xm:sqref>AM18</xm:sqref>
        </x14:dataValidation>
        <x14:dataValidation type="custom" allowBlank="1" showInputMessage="1" showErrorMessage="1" error="Recuerde que las acciones se generan bajo la medida de mitigar el riesgo" xr:uid="{00000000-0002-0000-0200-000048000000}">
          <x14:formula1>
            <xm:f>IF(OR(AJ18='G:\MAPAS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Tratamiento'!#REF!),ISBLANK(AJ18),ISTEXT(AJ18))</xm:f>
          </x14:formula1>
          <xm:sqref>AL18</xm:sqref>
        </x14:dataValidation>
        <x14:dataValidation type="custom" allowBlank="1" showInputMessage="1" showErrorMessage="1" error="Recuerde que las acciones se generan bajo la medida de mitigar el riesgo" xr:uid="{00000000-0002-0000-0200-000049000000}">
          <x14:formula1>
            <xm:f>IF(OR(AJ18='G:\MAPAS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Tratamiento'!#REF!,AJ18='G:\MAPAS DE RIESGOS GENERAL\MAPA DE RIESGOS CORRUPCIÓN 2023\CORRUPCION\PROCESOS DE APOYO\[RIESGOS CORRUPCION FINANCIERA 2023.xlsx]Opciones Tratamiento'!#REF!),ISBLANK(AJ18),ISTEXT(AJ18))</xm:f>
          </x14:formula1>
          <xm:sqref>AK18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CH120"/>
  <sheetViews>
    <sheetView zoomScale="40" zoomScaleNormal="40" workbookViewId="0">
      <selection activeCell="BS52" sqref="BS52"/>
    </sheetView>
  </sheetViews>
  <sheetFormatPr baseColWidth="10" defaultRowHeight="15" x14ac:dyDescent="0.25"/>
  <cols>
    <col min="2" max="27" width="5.7109375" customWidth="1"/>
    <col min="29" max="34" width="5.7109375" customWidth="1"/>
  </cols>
  <sheetData>
    <row r="1" spans="1:86"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row>
    <row r="2" spans="1:86" ht="18" customHeight="1" x14ac:dyDescent="0.25">
      <c r="A2" s="18"/>
      <c r="B2" s="316" t="s">
        <v>111</v>
      </c>
      <c r="C2" s="316"/>
      <c r="D2" s="316"/>
      <c r="E2" s="316"/>
      <c r="F2" s="316"/>
      <c r="G2" s="316"/>
      <c r="H2" s="297" t="s">
        <v>1</v>
      </c>
      <c r="I2" s="297"/>
      <c r="J2" s="297"/>
      <c r="K2" s="297"/>
      <c r="L2" s="297"/>
      <c r="M2" s="297"/>
      <c r="N2" s="297"/>
      <c r="O2" s="297"/>
      <c r="P2" s="297"/>
      <c r="Q2" s="297"/>
      <c r="R2" s="297"/>
      <c r="S2" s="297"/>
      <c r="T2" s="297"/>
      <c r="U2" s="297"/>
      <c r="V2" s="297"/>
      <c r="W2" s="297"/>
      <c r="X2" s="297"/>
      <c r="Y2" s="297"/>
      <c r="Z2" s="297"/>
      <c r="AA2" s="297"/>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row>
    <row r="3" spans="1:86" ht="18.75" customHeight="1" x14ac:dyDescent="0.25">
      <c r="A3" s="18"/>
      <c r="B3" s="316"/>
      <c r="C3" s="316"/>
      <c r="D3" s="316"/>
      <c r="E3" s="316"/>
      <c r="F3" s="316"/>
      <c r="G3" s="316"/>
      <c r="H3" s="297"/>
      <c r="I3" s="297"/>
      <c r="J3" s="297"/>
      <c r="K3" s="297"/>
      <c r="L3" s="297"/>
      <c r="M3" s="297"/>
      <c r="N3" s="297"/>
      <c r="O3" s="297"/>
      <c r="P3" s="297"/>
      <c r="Q3" s="297"/>
      <c r="R3" s="297"/>
      <c r="S3" s="297"/>
      <c r="T3" s="297"/>
      <c r="U3" s="297"/>
      <c r="V3" s="297"/>
      <c r="W3" s="297"/>
      <c r="X3" s="297"/>
      <c r="Y3" s="297"/>
      <c r="Z3" s="297"/>
      <c r="AA3" s="297"/>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row>
    <row r="4" spans="1:86" ht="15" customHeight="1" x14ac:dyDescent="0.25">
      <c r="A4" s="18"/>
      <c r="B4" s="316"/>
      <c r="C4" s="316"/>
      <c r="D4" s="316"/>
      <c r="E4" s="316"/>
      <c r="F4" s="316"/>
      <c r="G4" s="316"/>
      <c r="H4" s="297"/>
      <c r="I4" s="297"/>
      <c r="J4" s="297"/>
      <c r="K4" s="297"/>
      <c r="L4" s="297"/>
      <c r="M4" s="297"/>
      <c r="N4" s="297"/>
      <c r="O4" s="297"/>
      <c r="P4" s="297"/>
      <c r="Q4" s="297"/>
      <c r="R4" s="297"/>
      <c r="S4" s="297"/>
      <c r="T4" s="297"/>
      <c r="U4" s="297"/>
      <c r="V4" s="297"/>
      <c r="W4" s="297"/>
      <c r="X4" s="297"/>
      <c r="Y4" s="297"/>
      <c r="Z4" s="297"/>
      <c r="AA4" s="297"/>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row>
    <row r="5" spans="1:86" ht="15.75" thickBot="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row>
    <row r="6" spans="1:86" ht="15" customHeight="1" x14ac:dyDescent="0.25">
      <c r="A6" s="18"/>
      <c r="B6" s="326" t="s">
        <v>3</v>
      </c>
      <c r="C6" s="326"/>
      <c r="D6" s="326"/>
      <c r="E6" s="282" t="s">
        <v>86</v>
      </c>
      <c r="F6" s="283"/>
      <c r="G6" s="283"/>
      <c r="H6" s="286" t="str">
        <f>IF(AND('Mapa final'!$K$9="Muy Alta",'Mapa final'!$O$9="Leve"),CONCATENATE("R",'Mapa final'!$B$9),"")</f>
        <v/>
      </c>
      <c r="I6" s="287"/>
      <c r="J6" s="287" t="str">
        <f>IF(AND('Mapa final'!$K$11="Muy Alta",'Mapa final'!$O$11="Leve"),CONCATENATE("R",'Mapa final'!$B$11),"")</f>
        <v/>
      </c>
      <c r="K6" s="290"/>
      <c r="L6" s="286" t="str">
        <f>IF(AND('Mapa final'!$K$9="Muy Alta",'Mapa final'!$O$9="Menor"),CONCATENATE("R",'Mapa final'!$B$9),"")</f>
        <v/>
      </c>
      <c r="M6" s="287"/>
      <c r="N6" s="287" t="str">
        <f>IF(AND('Mapa final'!$K$11="Muy Alta",'Mapa final'!$O$11="Menor"),CONCATENATE("R",'Mapa final'!$B$11),"")</f>
        <v/>
      </c>
      <c r="O6" s="290"/>
      <c r="P6" s="286" t="str">
        <f>IF(AND('Mapa final'!$K$9="Muy Alta",'Mapa final'!$O$9="Moderado"),CONCATENATE("R",'Mapa final'!$B$9),"")</f>
        <v/>
      </c>
      <c r="Q6" s="287"/>
      <c r="R6" s="287" t="str">
        <f>IF(AND('Mapa final'!$K$11="Muy Alta",'Mapa final'!$O$11="Moderado"),CONCATENATE("R",'Mapa final'!$B$11),"")</f>
        <v/>
      </c>
      <c r="S6" s="290"/>
      <c r="T6" s="286" t="str">
        <f>IF(AND('Mapa final'!$K$9="Muy Alta",'Mapa final'!$O$9="Mayor"),CONCATENATE("R",'Mapa final'!$B$9),"")</f>
        <v/>
      </c>
      <c r="U6" s="287"/>
      <c r="V6" s="287" t="str">
        <f>IF(AND('Mapa final'!$K$11="Muy Alta",'Mapa final'!$O$11="Mayor"),CONCATENATE("R",'Mapa final'!$B$11),"")</f>
        <v/>
      </c>
      <c r="W6" s="290"/>
      <c r="X6" s="298" t="str">
        <f>IF(AND('Mapa final'!$K$9="Muy Alta",'Mapa final'!$O$9="Catastrófico"),CONCATENATE("R",'Mapa final'!$B$9),"")</f>
        <v/>
      </c>
      <c r="Y6" s="299"/>
      <c r="Z6" s="299" t="str">
        <f>IF(AND('Mapa final'!$K$11="Muy Alta",'Mapa final'!$O$11="Catastrófico"),CONCATENATE("R",'Mapa final'!$B$11),"")</f>
        <v/>
      </c>
      <c r="AA6" s="302"/>
      <c r="AC6" s="258" t="s">
        <v>66</v>
      </c>
      <c r="AD6" s="259"/>
      <c r="AE6" s="259"/>
      <c r="AF6" s="259"/>
      <c r="AG6" s="259"/>
      <c r="AH6" s="260"/>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spans="1:86" ht="15" customHeight="1" x14ac:dyDescent="0.25">
      <c r="A7" s="18"/>
      <c r="B7" s="326"/>
      <c r="C7" s="326"/>
      <c r="D7" s="326"/>
      <c r="E7" s="283"/>
      <c r="F7" s="283"/>
      <c r="G7" s="283"/>
      <c r="H7" s="288"/>
      <c r="I7" s="289"/>
      <c r="J7" s="289"/>
      <c r="K7" s="291"/>
      <c r="L7" s="288"/>
      <c r="M7" s="289"/>
      <c r="N7" s="289"/>
      <c r="O7" s="291"/>
      <c r="P7" s="288"/>
      <c r="Q7" s="289"/>
      <c r="R7" s="289"/>
      <c r="S7" s="291"/>
      <c r="T7" s="288"/>
      <c r="U7" s="289"/>
      <c r="V7" s="289"/>
      <c r="W7" s="291"/>
      <c r="X7" s="300"/>
      <c r="Y7" s="301"/>
      <c r="Z7" s="301"/>
      <c r="AA7" s="303"/>
      <c r="AB7" s="18"/>
      <c r="AC7" s="261"/>
      <c r="AD7" s="262"/>
      <c r="AE7" s="262"/>
      <c r="AF7" s="262"/>
      <c r="AG7" s="262"/>
      <c r="AH7" s="263"/>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row>
    <row r="8" spans="1:86" ht="15" customHeight="1" x14ac:dyDescent="0.25">
      <c r="A8" s="18"/>
      <c r="B8" s="326"/>
      <c r="C8" s="326"/>
      <c r="D8" s="326"/>
      <c r="E8" s="283"/>
      <c r="F8" s="283"/>
      <c r="G8" s="283"/>
      <c r="H8" s="288" t="str">
        <f>IF(AND('Mapa final'!$K$12="Muy Alta",'Mapa final'!$O$12="Leve"),CONCATENATE("R",'Mapa final'!$B$12),"")</f>
        <v/>
      </c>
      <c r="I8" s="289"/>
      <c r="J8" s="289" t="str">
        <f>IF(AND('Mapa final'!$K$17="Muy Alta",'Mapa final'!$O$17="Leve"),CONCATENATE("R",'Mapa final'!$B$17),"")</f>
        <v/>
      </c>
      <c r="K8" s="291"/>
      <c r="L8" s="288" t="str">
        <f>IF(AND('Mapa final'!$K$12="Muy Alta",'Mapa final'!$O$12="Menor"),CONCATENATE("R",'Mapa final'!$B$12),"")</f>
        <v/>
      </c>
      <c r="M8" s="289"/>
      <c r="N8" s="289" t="str">
        <f>IF(AND('Mapa final'!$K$15="Muy Alta",'Mapa final'!$O$15="Menor"),CONCATENATE("R",'Mapa final'!$B$15),"")</f>
        <v/>
      </c>
      <c r="O8" s="291"/>
      <c r="P8" s="288" t="str">
        <f>IF(AND('Mapa final'!$K$12="Muy Alta",'Mapa final'!$O$12="Moderado"),CONCATENATE("R",'Mapa final'!$B$12),"")</f>
        <v/>
      </c>
      <c r="Q8" s="289"/>
      <c r="R8" s="289" t="str">
        <f>IF(AND('Mapa final'!$K$15="Muy Alta",'Mapa final'!$O$15="Moderado"),CONCATENATE("R",'Mapa final'!$B$15),"")</f>
        <v/>
      </c>
      <c r="S8" s="291"/>
      <c r="T8" s="288" t="str">
        <f>IF(AND('Mapa final'!$K$12="Muy Alta",'Mapa final'!$O$12="Mayor"),CONCATENATE("R",'Mapa final'!$B$12),"")</f>
        <v/>
      </c>
      <c r="U8" s="289"/>
      <c r="V8" s="289" t="str">
        <f>IF(AND('Mapa final'!$K$15="Muy Alta",'Mapa final'!$O$15="Mayor"),CONCATENATE("R",'Mapa final'!$B$15),"")</f>
        <v/>
      </c>
      <c r="W8" s="291"/>
      <c r="X8" s="300" t="str">
        <f>IF(AND('Mapa final'!$K$12="Muy Alta",'Mapa final'!$O$12="Catastrófico"),CONCATENATE("R",'Mapa final'!$B$12),"")</f>
        <v/>
      </c>
      <c r="Y8" s="301"/>
      <c r="Z8" s="301" t="str">
        <f>IF(AND('Mapa final'!$K$15="Muy Alta",'Mapa final'!$O$15="Catastrófico"),CONCATENATE("R",'Mapa final'!$B$15),"")</f>
        <v/>
      </c>
      <c r="AA8" s="303"/>
      <c r="AB8" s="18"/>
      <c r="AC8" s="261"/>
      <c r="AD8" s="262"/>
      <c r="AE8" s="262"/>
      <c r="AF8" s="262"/>
      <c r="AG8" s="262"/>
      <c r="AH8" s="263"/>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row>
    <row r="9" spans="1:86" ht="15" customHeight="1" thickBot="1" x14ac:dyDescent="0.3">
      <c r="A9" s="18"/>
      <c r="B9" s="326"/>
      <c r="C9" s="326"/>
      <c r="D9" s="326"/>
      <c r="E9" s="283"/>
      <c r="F9" s="283"/>
      <c r="G9" s="283"/>
      <c r="H9" s="292"/>
      <c r="I9" s="293"/>
      <c r="J9" s="293"/>
      <c r="K9" s="294"/>
      <c r="L9" s="292"/>
      <c r="M9" s="293"/>
      <c r="N9" s="293"/>
      <c r="O9" s="294"/>
      <c r="P9" s="292"/>
      <c r="Q9" s="293"/>
      <c r="R9" s="293"/>
      <c r="S9" s="294"/>
      <c r="T9" s="292"/>
      <c r="U9" s="293"/>
      <c r="V9" s="293"/>
      <c r="W9" s="294"/>
      <c r="X9" s="304"/>
      <c r="Y9" s="305"/>
      <c r="Z9" s="305"/>
      <c r="AA9" s="306"/>
      <c r="AB9" s="18"/>
      <c r="AC9" s="261"/>
      <c r="AD9" s="262"/>
      <c r="AE9" s="262"/>
      <c r="AF9" s="262"/>
      <c r="AG9" s="262"/>
      <c r="AH9" s="263"/>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spans="1:86" ht="15" customHeight="1" x14ac:dyDescent="0.25">
      <c r="A10" s="18"/>
      <c r="B10" s="326"/>
      <c r="C10" s="326"/>
      <c r="D10" s="326"/>
      <c r="E10" s="282" t="s">
        <v>85</v>
      </c>
      <c r="F10" s="283"/>
      <c r="G10" s="283"/>
      <c r="H10" s="307" t="str">
        <f>IF(AND('Mapa final'!$K$9="Alta",'Mapa final'!$O$9="Leve"),CONCATENATE("R",'Mapa final'!$B$9),"")</f>
        <v/>
      </c>
      <c r="I10" s="308"/>
      <c r="J10" s="308" t="str">
        <f>IF(AND('Mapa final'!$K$11="Alta",'Mapa final'!$O$11="Leve"),CONCATENATE("R",'Mapa final'!$B$11),"")</f>
        <v/>
      </c>
      <c r="K10" s="311"/>
      <c r="L10" s="307" t="str">
        <f>IF(AND('Mapa final'!$K$9="Alta",'Mapa final'!$O$9="Menor"),CONCATENATE("R",'Mapa final'!$B$9),"")</f>
        <v/>
      </c>
      <c r="M10" s="308"/>
      <c r="N10" s="308" t="str">
        <f>IF(AND('Mapa final'!$K$11="Alta",'Mapa final'!$O$11="Menor"),CONCATENATE("R",'Mapa final'!$B$11),"")</f>
        <v/>
      </c>
      <c r="O10" s="311"/>
      <c r="P10" s="286" t="str">
        <f>IF(AND('Mapa final'!$K$9="Alta",'Mapa final'!$O$9="Moderado"),CONCATENATE("R",'Mapa final'!$B$9),"")</f>
        <v/>
      </c>
      <c r="Q10" s="287"/>
      <c r="R10" s="287" t="str">
        <f>IF(AND('Mapa final'!$K$11="Alta",'Mapa final'!$O$11="Moderado"),CONCATENATE("R",'Mapa final'!$B$11),"")</f>
        <v/>
      </c>
      <c r="S10" s="290"/>
      <c r="T10" s="286" t="str">
        <f>IF(AND('Mapa final'!$K$9="Alta",'Mapa final'!$O$9="Mayor"),CONCATENATE("R",'Mapa final'!$B$9),"")</f>
        <v/>
      </c>
      <c r="U10" s="287"/>
      <c r="V10" s="287" t="str">
        <f>IF(AND('Mapa final'!$K$11="Alta",'Mapa final'!$O$11="Mayor"),CONCATENATE("R",'Mapa final'!$B$11),"")</f>
        <v/>
      </c>
      <c r="W10" s="290"/>
      <c r="X10" s="298" t="str">
        <f>IF(AND('Mapa final'!$K$9="Alta",'Mapa final'!$O$9="Catastrófico"),CONCATENATE("R",'Mapa final'!$B$9),"")</f>
        <v/>
      </c>
      <c r="Y10" s="299"/>
      <c r="Z10" s="299" t="str">
        <f>IF(AND('Mapa final'!$K$11="Alta",'Mapa final'!$O$11="Catastrófico"),CONCATENATE("R",'Mapa final'!$B$11),"")</f>
        <v/>
      </c>
      <c r="AA10" s="302"/>
      <c r="AB10" s="18"/>
      <c r="AC10" s="264" t="s">
        <v>67</v>
      </c>
      <c r="AD10" s="265"/>
      <c r="AE10" s="265"/>
      <c r="AF10" s="265"/>
      <c r="AG10" s="265"/>
      <c r="AH10" s="266"/>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spans="1:86" ht="15" customHeight="1" x14ac:dyDescent="0.25">
      <c r="A11" s="18"/>
      <c r="B11" s="326"/>
      <c r="C11" s="326"/>
      <c r="D11" s="326"/>
      <c r="E11" s="283"/>
      <c r="F11" s="283"/>
      <c r="G11" s="283"/>
      <c r="H11" s="309"/>
      <c r="I11" s="310"/>
      <c r="J11" s="310"/>
      <c r="K11" s="312"/>
      <c r="L11" s="309"/>
      <c r="M11" s="310"/>
      <c r="N11" s="310"/>
      <c r="O11" s="312"/>
      <c r="P11" s="288"/>
      <c r="Q11" s="289"/>
      <c r="R11" s="289"/>
      <c r="S11" s="291"/>
      <c r="T11" s="288"/>
      <c r="U11" s="289"/>
      <c r="V11" s="289"/>
      <c r="W11" s="291"/>
      <c r="X11" s="300"/>
      <c r="Y11" s="301"/>
      <c r="Z11" s="301"/>
      <c r="AA11" s="303"/>
      <c r="AB11" s="18"/>
      <c r="AC11" s="267"/>
      <c r="AD11" s="268"/>
      <c r="AE11" s="268"/>
      <c r="AF11" s="268"/>
      <c r="AG11" s="268"/>
      <c r="AH11" s="269"/>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spans="1:86" ht="15" customHeight="1" x14ac:dyDescent="0.25">
      <c r="A12" s="18"/>
      <c r="B12" s="326"/>
      <c r="C12" s="326"/>
      <c r="D12" s="326"/>
      <c r="E12" s="283"/>
      <c r="F12" s="283"/>
      <c r="G12" s="283"/>
      <c r="H12" s="309" t="str">
        <f>IF(AND('Mapa final'!$K$12="Alta",'Mapa final'!$O$12="Leve"),CONCATENATE("R",'Mapa final'!$B$12),"")</f>
        <v/>
      </c>
      <c r="I12" s="310"/>
      <c r="J12" s="310" t="str">
        <f>IF(AND('Mapa final'!$K$15="Alta",'Mapa final'!$O$15="Leve"),CONCATENATE("R",'Mapa final'!$B$15),"")</f>
        <v/>
      </c>
      <c r="K12" s="312"/>
      <c r="L12" s="309" t="str">
        <f>IF(AND('Mapa final'!$K$12="Alta",'Mapa final'!$O$12="Menor"),CONCATENATE("R",'Mapa final'!$B$12),"")</f>
        <v/>
      </c>
      <c r="M12" s="310"/>
      <c r="N12" s="310" t="str">
        <f>IF(AND('Mapa final'!$K$15="Alta",'Mapa final'!$O$15="Menor"),CONCATENATE("R",'Mapa final'!$B$15),"")</f>
        <v/>
      </c>
      <c r="O12" s="312"/>
      <c r="P12" s="288" t="str">
        <f>IF(AND('Mapa final'!$K$12="Alta",'Mapa final'!$O$12="Moderado"),CONCATENATE("R",'Mapa final'!$B$12),"")</f>
        <v/>
      </c>
      <c r="Q12" s="289"/>
      <c r="R12" s="289" t="str">
        <f>IF(AND('Mapa final'!$K$15="Alta",'Mapa final'!$O$15="Moderado"),CONCATENATE("R",'Mapa final'!$B$15),"")</f>
        <v/>
      </c>
      <c r="S12" s="291"/>
      <c r="T12" s="288" t="str">
        <f>IF(AND('Mapa final'!$K$12="Alta",'Mapa final'!$O$12="Mayor"),CONCATENATE("R",'Mapa final'!$B$12),"")</f>
        <v/>
      </c>
      <c r="U12" s="289"/>
      <c r="V12" s="289" t="str">
        <f>IF(AND('Mapa final'!$K$15="Alta",'Mapa final'!$O$15="Mayor"),CONCATENATE("R",'Mapa final'!$B$15),"")</f>
        <v/>
      </c>
      <c r="W12" s="291"/>
      <c r="X12" s="300" t="str">
        <f>IF(AND('Mapa final'!$K$12="Alta",'Mapa final'!$O$12="Catastrófico"),CONCATENATE("R",'Mapa final'!$B$12),"")</f>
        <v/>
      </c>
      <c r="Y12" s="301"/>
      <c r="Z12" s="301" t="str">
        <f>IF(AND('Mapa final'!$K$15="Alta",'Mapa final'!$O$15="Catastrófico"),CONCATENATE("R",'Mapa final'!$B$15),"")</f>
        <v/>
      </c>
      <c r="AA12" s="303"/>
      <c r="AB12" s="18"/>
      <c r="AC12" s="267"/>
      <c r="AD12" s="268"/>
      <c r="AE12" s="268"/>
      <c r="AF12" s="268"/>
      <c r="AG12" s="268"/>
      <c r="AH12" s="269"/>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spans="1:86" ht="15" customHeight="1" thickBot="1" x14ac:dyDescent="0.3">
      <c r="A13" s="18"/>
      <c r="B13" s="326"/>
      <c r="C13" s="326"/>
      <c r="D13" s="326"/>
      <c r="E13" s="283"/>
      <c r="F13" s="283"/>
      <c r="G13" s="283"/>
      <c r="H13" s="313"/>
      <c r="I13" s="314"/>
      <c r="J13" s="314"/>
      <c r="K13" s="315"/>
      <c r="L13" s="313"/>
      <c r="M13" s="314"/>
      <c r="N13" s="314"/>
      <c r="O13" s="315"/>
      <c r="P13" s="292"/>
      <c r="Q13" s="293"/>
      <c r="R13" s="293"/>
      <c r="S13" s="294"/>
      <c r="T13" s="292"/>
      <c r="U13" s="293"/>
      <c r="V13" s="293"/>
      <c r="W13" s="294"/>
      <c r="X13" s="304"/>
      <c r="Y13" s="305"/>
      <c r="Z13" s="305"/>
      <c r="AA13" s="306"/>
      <c r="AB13" s="18"/>
      <c r="AC13" s="267"/>
      <c r="AD13" s="268"/>
      <c r="AE13" s="268"/>
      <c r="AF13" s="268"/>
      <c r="AG13" s="268"/>
      <c r="AH13" s="269"/>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spans="1:86" ht="15" customHeight="1" x14ac:dyDescent="0.25">
      <c r="A14" s="18"/>
      <c r="B14" s="326"/>
      <c r="C14" s="326"/>
      <c r="D14" s="326"/>
      <c r="E14" s="282" t="s">
        <v>87</v>
      </c>
      <c r="F14" s="283"/>
      <c r="G14" s="283"/>
      <c r="H14" s="307" t="str">
        <f>IF(AND('Mapa final'!$K$9="Media",'Mapa final'!$O$9="Leve"),CONCATENATE("R",'Mapa final'!$B$9),"")</f>
        <v/>
      </c>
      <c r="I14" s="308"/>
      <c r="J14" s="308" t="str">
        <f>IF(AND('Mapa final'!$K$11="Media",'Mapa final'!$O$11="Leve"),CONCATENATE("R",'Mapa final'!$B$11),"")</f>
        <v/>
      </c>
      <c r="K14" s="311"/>
      <c r="L14" s="307" t="str">
        <f>IF(AND('Mapa final'!$K$9="Media",'Mapa final'!$O$9="Menor"),CONCATENATE("R",'Mapa final'!$B$9),"")</f>
        <v/>
      </c>
      <c r="M14" s="308"/>
      <c r="N14" s="308" t="str">
        <f>IF(AND('Mapa final'!$K$11="Media",'Mapa final'!$O$11="Menor"),CONCATENATE("R",'Mapa final'!$B$11),"")</f>
        <v/>
      </c>
      <c r="O14" s="311"/>
      <c r="P14" s="307" t="str">
        <f>IF(AND('Mapa final'!$K$9="Media",'Mapa final'!$O$9="Moderado"),CONCATENATE("R",'Mapa final'!$B$9),"")</f>
        <v/>
      </c>
      <c r="Q14" s="308"/>
      <c r="R14" s="308" t="str">
        <f>IF(AND('Mapa final'!$K$11="Media",'Mapa final'!$O$11="Moderado"),CONCATENATE("R",'Mapa final'!$B$11),"")</f>
        <v/>
      </c>
      <c r="S14" s="311"/>
      <c r="T14" s="286" t="str">
        <f>IF(AND('Mapa final'!$K$9="Media",'Mapa final'!$O$9="Mayor"),CONCATENATE("R",'Mapa final'!$B$9),"")</f>
        <v/>
      </c>
      <c r="U14" s="287"/>
      <c r="V14" s="287" t="str">
        <f>IF(AND('Mapa final'!$K$11="Media",'Mapa final'!$O$11="Mayor"),CONCATENATE("R",'Mapa final'!$B$11),"")</f>
        <v>R2</v>
      </c>
      <c r="W14" s="290"/>
      <c r="X14" s="298" t="str">
        <f>IF(AND('Mapa final'!$K$9="Media",'Mapa final'!$O$9="Catastrófico"),CONCATENATE("R",'Mapa final'!$B$9),"")</f>
        <v/>
      </c>
      <c r="Y14" s="299"/>
      <c r="Z14" s="299" t="str">
        <f>IF(AND('Mapa final'!$K$11="Media",'Mapa final'!$O$11="Catastrófico"),CONCATENATE("R",'Mapa final'!$B$11),"")</f>
        <v/>
      </c>
      <c r="AA14" s="302"/>
      <c r="AB14" s="18"/>
      <c r="AC14" s="270" t="s">
        <v>68</v>
      </c>
      <c r="AD14" s="271"/>
      <c r="AE14" s="271"/>
      <c r="AF14" s="271"/>
      <c r="AG14" s="271"/>
      <c r="AH14" s="272"/>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86" ht="15" customHeight="1" x14ac:dyDescent="0.25">
      <c r="A15" s="18"/>
      <c r="B15" s="326"/>
      <c r="C15" s="326"/>
      <c r="D15" s="326"/>
      <c r="E15" s="283"/>
      <c r="F15" s="283"/>
      <c r="G15" s="283"/>
      <c r="H15" s="309"/>
      <c r="I15" s="310"/>
      <c r="J15" s="310"/>
      <c r="K15" s="312"/>
      <c r="L15" s="309"/>
      <c r="M15" s="310"/>
      <c r="N15" s="310"/>
      <c r="O15" s="312"/>
      <c r="P15" s="309"/>
      <c r="Q15" s="310"/>
      <c r="R15" s="310"/>
      <c r="S15" s="312"/>
      <c r="T15" s="288"/>
      <c r="U15" s="289"/>
      <c r="V15" s="289"/>
      <c r="W15" s="291"/>
      <c r="X15" s="300"/>
      <c r="Y15" s="301"/>
      <c r="Z15" s="301"/>
      <c r="AA15" s="303"/>
      <c r="AB15" s="18"/>
      <c r="AC15" s="273"/>
      <c r="AD15" s="274"/>
      <c r="AE15" s="274"/>
      <c r="AF15" s="274"/>
      <c r="AG15" s="274"/>
      <c r="AH15" s="275"/>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86" ht="15" customHeight="1" x14ac:dyDescent="0.25">
      <c r="A16" s="18"/>
      <c r="B16" s="326"/>
      <c r="C16" s="326"/>
      <c r="D16" s="326"/>
      <c r="E16" s="283"/>
      <c r="F16" s="283"/>
      <c r="G16" s="283"/>
      <c r="H16" s="309" t="str">
        <f>IF(AND('Mapa final'!$K$12="Media",'Mapa final'!$O$12="Leve"),CONCATENATE("R",'Mapa final'!$B$12),"")</f>
        <v/>
      </c>
      <c r="I16" s="310"/>
      <c r="J16" s="310" t="str">
        <f>IF(AND('Mapa final'!$K$15="Media",'Mapa final'!$O$15="Leve"),CONCATENATE("R",'Mapa final'!$B$15),"")</f>
        <v/>
      </c>
      <c r="K16" s="312"/>
      <c r="L16" s="309" t="str">
        <f>IF(AND('Mapa final'!$K$12="Media",'Mapa final'!$O$12="Menor"),CONCATENATE("R",'Mapa final'!$B$12),"")</f>
        <v/>
      </c>
      <c r="M16" s="310"/>
      <c r="N16" s="310" t="str">
        <f>IF(AND('Mapa final'!$K$15="Media",'Mapa final'!$O$15="Menor"),CONCATENATE("R",'Mapa final'!#REF!),"")</f>
        <v/>
      </c>
      <c r="O16" s="312"/>
      <c r="P16" s="309" t="str">
        <f>IF(AND('Mapa final'!$K$12="Media",'Mapa final'!$O$12="Moderado"),CONCATENATE("R",'Mapa final'!$B$12),"")</f>
        <v/>
      </c>
      <c r="Q16" s="310"/>
      <c r="R16" s="310" t="str">
        <f>IF(AND('Mapa final'!$K$15="Media",'Mapa final'!$O$15="Moderado"),CONCATENATE("R",'Mapa final'!$B$15),"")</f>
        <v/>
      </c>
      <c r="S16" s="312"/>
      <c r="T16" s="288" t="str">
        <f>IF(AND('Mapa final'!$K$12="Media",'Mapa final'!$O$12="Mayor"),CONCATENATE("R",'Mapa final'!$B$12),"")</f>
        <v/>
      </c>
      <c r="U16" s="289"/>
      <c r="V16" s="289" t="str">
        <f>IF(AND('Mapa final'!$K$15="Media",'Mapa final'!$O$15="Mayor"),CONCATENATE("R",'Mapa final'!$B$15),"")</f>
        <v/>
      </c>
      <c r="W16" s="291"/>
      <c r="X16" s="300" t="str">
        <f>IF(AND('Mapa final'!$K$12="Media",'Mapa final'!$O$12="Catastrófico"),CONCATENATE("R",'Mapa final'!$B$12),"")</f>
        <v/>
      </c>
      <c r="Y16" s="301"/>
      <c r="Z16" s="301" t="str">
        <f>IF(AND('Mapa final'!$K$15="Media",'Mapa final'!$O$15="Catastrófico"),CONCATENATE("R",'Mapa final'!$B$15),"")</f>
        <v>R4</v>
      </c>
      <c r="AA16" s="303"/>
      <c r="AB16" s="18"/>
      <c r="AC16" s="273"/>
      <c r="AD16" s="274"/>
      <c r="AE16" s="274"/>
      <c r="AF16" s="274"/>
      <c r="AG16" s="274"/>
      <c r="AH16" s="275"/>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spans="1:67" ht="15" customHeight="1" thickBot="1" x14ac:dyDescent="0.3">
      <c r="A17" s="18"/>
      <c r="B17" s="326"/>
      <c r="C17" s="326"/>
      <c r="D17" s="326"/>
      <c r="E17" s="283"/>
      <c r="F17" s="283"/>
      <c r="G17" s="283"/>
      <c r="H17" s="313"/>
      <c r="I17" s="314"/>
      <c r="J17" s="314"/>
      <c r="K17" s="315"/>
      <c r="L17" s="313"/>
      <c r="M17" s="314"/>
      <c r="N17" s="314"/>
      <c r="O17" s="315"/>
      <c r="P17" s="313"/>
      <c r="Q17" s="314"/>
      <c r="R17" s="314"/>
      <c r="S17" s="315"/>
      <c r="T17" s="292"/>
      <c r="U17" s="293"/>
      <c r="V17" s="293"/>
      <c r="W17" s="294"/>
      <c r="X17" s="304"/>
      <c r="Y17" s="305"/>
      <c r="Z17" s="305"/>
      <c r="AA17" s="306"/>
      <c r="AB17" s="18"/>
      <c r="AC17" s="273"/>
      <c r="AD17" s="274"/>
      <c r="AE17" s="274"/>
      <c r="AF17" s="274"/>
      <c r="AG17" s="274"/>
      <c r="AH17" s="275"/>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spans="1:67" ht="15" customHeight="1" x14ac:dyDescent="0.25">
      <c r="A18" s="18"/>
      <c r="B18" s="326"/>
      <c r="C18" s="326"/>
      <c r="D18" s="326"/>
      <c r="E18" s="282" t="s">
        <v>84</v>
      </c>
      <c r="F18" s="283"/>
      <c r="G18" s="283"/>
      <c r="H18" s="320" t="str">
        <f>IF(AND('Mapa final'!$K$9="Baja",'Mapa final'!$O$9="Leve"),CONCATENATE("R",'Mapa final'!$B$9),"")</f>
        <v/>
      </c>
      <c r="I18" s="320"/>
      <c r="J18" s="320" t="str">
        <f>IF(AND('Mapa final'!$K$11="Baja",'Mapa final'!$O$11="Leve"),CONCATENATE("R",'Mapa final'!$B$11),"")</f>
        <v/>
      </c>
      <c r="K18" s="320"/>
      <c r="L18" s="307" t="str">
        <f>IF(AND('Mapa final'!$K$9="Baja",'Mapa final'!$O$9="Menor"),CONCATENATE("R",'Mapa final'!$B$9),"")</f>
        <v/>
      </c>
      <c r="M18" s="308"/>
      <c r="N18" s="308" t="str">
        <f>IF(AND('Mapa final'!$K$11="Baja",'Mapa final'!$O$11="Menor"),CONCATENATE("R",'Mapa final'!$B$11),"")</f>
        <v/>
      </c>
      <c r="O18" s="311"/>
      <c r="P18" s="307" t="str">
        <f>IF(AND('Mapa final'!$K$9="Baja",'Mapa final'!$O$9="Moderado"),CONCATENATE("R",'Mapa final'!$B$9),"")</f>
        <v/>
      </c>
      <c r="Q18" s="308"/>
      <c r="R18" s="308" t="str">
        <f>IF(AND('Mapa final'!$K$11="Baja",'Mapa final'!$O$11="Moderado"),CONCATENATE("R",'Mapa final'!$B$11),"")</f>
        <v/>
      </c>
      <c r="S18" s="311"/>
      <c r="T18" s="286" t="str">
        <f>IF(AND('Mapa final'!$K$9="Baja",'Mapa final'!$O$9="Mayor"),CONCATENATE("R",'Mapa final'!$B$9),"")</f>
        <v>R1</v>
      </c>
      <c r="U18" s="287"/>
      <c r="V18" s="287" t="str">
        <f>IF(AND('Mapa final'!$K$11="Baja",'Mapa final'!$O$11="Mayor"),CONCATENATE("R",'Mapa final'!$B$11),"")</f>
        <v/>
      </c>
      <c r="W18" s="290"/>
      <c r="X18" s="298" t="str">
        <f>IF(AND('Mapa final'!$K$9="Baja",'Mapa final'!$O$9="Catastrófico"),CONCATENATE("R",'Mapa final'!$B$9),"")</f>
        <v/>
      </c>
      <c r="Y18" s="299"/>
      <c r="Z18" s="299" t="str">
        <f>IF(AND('Mapa final'!$K$11="Baja",'Mapa final'!$O$11="Catastrófico"),CONCATENATE("R",'Mapa final'!$B$11),"")</f>
        <v/>
      </c>
      <c r="AA18" s="302"/>
      <c r="AB18" s="18"/>
      <c r="AC18" s="276" t="s">
        <v>69</v>
      </c>
      <c r="AD18" s="277"/>
      <c r="AE18" s="277"/>
      <c r="AF18" s="277"/>
      <c r="AG18" s="277"/>
      <c r="AH18" s="27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row>
    <row r="19" spans="1:67" ht="15" customHeight="1" x14ac:dyDescent="0.25">
      <c r="A19" s="18"/>
      <c r="B19" s="326"/>
      <c r="C19" s="326"/>
      <c r="D19" s="326"/>
      <c r="E19" s="283"/>
      <c r="F19" s="283"/>
      <c r="G19" s="283"/>
      <c r="H19" s="320"/>
      <c r="I19" s="320"/>
      <c r="J19" s="320"/>
      <c r="K19" s="320"/>
      <c r="L19" s="309"/>
      <c r="M19" s="310"/>
      <c r="N19" s="310"/>
      <c r="O19" s="312"/>
      <c r="P19" s="309"/>
      <c r="Q19" s="310"/>
      <c r="R19" s="310"/>
      <c r="S19" s="312"/>
      <c r="T19" s="288"/>
      <c r="U19" s="289"/>
      <c r="V19" s="289"/>
      <c r="W19" s="291"/>
      <c r="X19" s="300"/>
      <c r="Y19" s="301"/>
      <c r="Z19" s="301"/>
      <c r="AA19" s="303"/>
      <c r="AB19" s="18"/>
      <c r="AC19" s="279"/>
      <c r="AD19" s="280"/>
      <c r="AE19" s="280"/>
      <c r="AF19" s="280"/>
      <c r="AG19" s="280"/>
      <c r="AH19" s="281"/>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row>
    <row r="20" spans="1:67" ht="15" customHeight="1" x14ac:dyDescent="0.25">
      <c r="A20" s="18"/>
      <c r="B20" s="326"/>
      <c r="C20" s="326"/>
      <c r="D20" s="326"/>
      <c r="E20" s="283"/>
      <c r="F20" s="283"/>
      <c r="G20" s="283"/>
      <c r="H20" s="320" t="str">
        <f>IF(AND('Mapa final'!$K$12="Baja",'Mapa final'!$O$12="Leve"),CONCATENATE("R",'Mapa final'!$B$12),"")</f>
        <v/>
      </c>
      <c r="I20" s="320"/>
      <c r="J20" s="320" t="str">
        <f>IF(AND('Mapa final'!$K$15="Baja",'Mapa final'!$O$15="Leve"),CONCATENATE("R",'Mapa final'!$B$15),"")</f>
        <v/>
      </c>
      <c r="K20" s="320"/>
      <c r="L20" s="309" t="str">
        <f>IF(AND('Mapa final'!$K$12="Baja",'Mapa final'!$O$12="Menor"),CONCATENATE("R",'Mapa final'!$B$12),"")</f>
        <v/>
      </c>
      <c r="M20" s="310"/>
      <c r="N20" s="310" t="str">
        <f>IF(AND('Mapa final'!$K$15="Baja",'Mapa final'!$O$15="Menor"),CONCATENATE("R",'Mapa final'!$B$15),"")</f>
        <v/>
      </c>
      <c r="O20" s="312"/>
      <c r="P20" s="309" t="str">
        <f>IF(AND('Mapa final'!$K$12="Baja",'Mapa final'!$O$12="Moderado"),CONCATENATE("R",'Mapa final'!$B$12),"")</f>
        <v/>
      </c>
      <c r="Q20" s="310"/>
      <c r="R20" s="310" t="str">
        <f>IF(AND('Mapa final'!$K$15="Baja",'Mapa final'!$O$15="Moderado"),CONCATENATE("R",'Mapa final'!$B$15),"")</f>
        <v/>
      </c>
      <c r="S20" s="312"/>
      <c r="T20" s="288" t="str">
        <f>IF(AND('Mapa final'!$K$12="Baja",'Mapa final'!$O$12="Mayor"),CONCATENATE("R",'Mapa final'!$B$12),"")</f>
        <v/>
      </c>
      <c r="U20" s="289"/>
      <c r="V20" s="289" t="str">
        <f>IF(AND('Mapa final'!$K$15="Baja",'Mapa final'!$O$15="Mayor"),CONCATENATE("R",'Mapa final'!$B$15),"")</f>
        <v/>
      </c>
      <c r="W20" s="291"/>
      <c r="X20" s="300" t="str">
        <f>IF(AND('Mapa final'!$K$12="Baja",'Mapa final'!$O$12="Catastrófico"),CONCATENATE("R",'Mapa final'!$B$12),"")</f>
        <v/>
      </c>
      <c r="Y20" s="301"/>
      <c r="Z20" s="301" t="str">
        <f>IF(AND('Mapa final'!$K$15="Baja",'Mapa final'!$O$15="Catastrófico"),CONCATENATE("R",'Mapa final'!$B$15),"")</f>
        <v/>
      </c>
      <c r="AA20" s="303"/>
      <c r="AB20" s="18"/>
      <c r="AC20" s="279"/>
      <c r="AD20" s="280"/>
      <c r="AE20" s="280"/>
      <c r="AF20" s="280"/>
      <c r="AG20" s="280"/>
      <c r="AH20" s="281"/>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row>
    <row r="21" spans="1:67" ht="15" customHeight="1" x14ac:dyDescent="0.25">
      <c r="A21" s="18"/>
      <c r="B21" s="326"/>
      <c r="C21" s="326"/>
      <c r="D21" s="326"/>
      <c r="E21" s="283"/>
      <c r="F21" s="283"/>
      <c r="G21" s="283"/>
      <c r="H21" s="320"/>
      <c r="I21" s="320"/>
      <c r="J21" s="320"/>
      <c r="K21" s="320"/>
      <c r="L21" s="313"/>
      <c r="M21" s="314"/>
      <c r="N21" s="314"/>
      <c r="O21" s="315"/>
      <c r="P21" s="313"/>
      <c r="Q21" s="314"/>
      <c r="R21" s="314"/>
      <c r="S21" s="315"/>
      <c r="T21" s="292"/>
      <c r="U21" s="293"/>
      <c r="V21" s="293"/>
      <c r="W21" s="294"/>
      <c r="X21" s="304"/>
      <c r="Y21" s="305"/>
      <c r="Z21" s="305"/>
      <c r="AA21" s="306"/>
      <c r="AB21" s="18"/>
      <c r="AC21" s="279"/>
      <c r="AD21" s="280"/>
      <c r="AE21" s="280"/>
      <c r="AF21" s="280"/>
      <c r="AG21" s="280"/>
      <c r="AH21" s="281"/>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row>
    <row r="22" spans="1:67" ht="15" customHeight="1" x14ac:dyDescent="0.25">
      <c r="A22" s="18"/>
      <c r="B22" s="326"/>
      <c r="C22" s="326"/>
      <c r="D22" s="326"/>
      <c r="E22" s="282" t="s">
        <v>83</v>
      </c>
      <c r="F22" s="283"/>
      <c r="G22" s="283"/>
      <c r="H22" s="317" t="str">
        <f>IF(AND('Mapa final'!$K$9="Muy Baja",'Mapa final'!$O$9="Leve"),CONCATENATE("R",'Mapa final'!$B$9),"")</f>
        <v/>
      </c>
      <c r="I22" s="318"/>
      <c r="J22" s="318" t="str">
        <f>IF(AND('Mapa final'!$K$11="Muy Baja",'Mapa final'!$O$11="Leve"),CONCATENATE("R",'Mapa final'!$B$11),"")</f>
        <v/>
      </c>
      <c r="K22" s="321"/>
      <c r="L22" s="317" t="str">
        <f>IF(AND('Mapa final'!$K$9="Muy Baja",'Mapa final'!$O$9="Menor"),CONCATENATE("R",'Mapa final'!$B$9),"")</f>
        <v/>
      </c>
      <c r="M22" s="318"/>
      <c r="N22" s="318" t="str">
        <f>IF(AND('Mapa final'!$K$11="Muy Baja",'Mapa final'!$O$11="Menor"),CONCATENATE("R",'Mapa final'!$B$11),"")</f>
        <v/>
      </c>
      <c r="O22" s="321"/>
      <c r="P22" s="307" t="str">
        <f>IF(AND('Mapa final'!$K$9="Muy Baja",'Mapa final'!$O$9="Moderado"),CONCATENATE("R",'Mapa final'!$B$9),"")</f>
        <v/>
      </c>
      <c r="Q22" s="308"/>
      <c r="R22" s="308" t="str">
        <f>IF(AND('Mapa final'!$K$11="Muy Baja",'Mapa final'!$O$11="Moderado"),CONCATENATE("R",'Mapa final'!$B$11),"")</f>
        <v/>
      </c>
      <c r="S22" s="311"/>
      <c r="T22" s="286" t="str">
        <f>IF(AND('Mapa final'!$K$9="Muy Baja",'Mapa final'!$O$9="Mayor"),CONCATENATE("R",'Mapa final'!$B$9),"")</f>
        <v/>
      </c>
      <c r="U22" s="287"/>
      <c r="V22" s="287" t="str">
        <f>IF(AND('Mapa final'!$K$11="Muy Baja",'Mapa final'!$O$11="Mayor"),CONCATENATE("R",'Mapa final'!$B$11),"")</f>
        <v/>
      </c>
      <c r="W22" s="290"/>
      <c r="X22" s="298" t="str">
        <f>IF(AND('Mapa final'!$K$9="Muy Baja",'Mapa final'!$O$9="Catastrófico"),CONCATENATE("R",'Mapa final'!$B$9),"")</f>
        <v/>
      </c>
      <c r="Y22" s="299"/>
      <c r="Z22" s="299" t="str">
        <f>IF(AND('Mapa final'!$K$11="Muy Baja",'Mapa final'!$O$11="Catastrófico"),CONCATENATE("R",'Mapa final'!$B$11),"")</f>
        <v/>
      </c>
      <c r="AA22" s="302"/>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row>
    <row r="23" spans="1:67" ht="15" customHeight="1" x14ac:dyDescent="0.25">
      <c r="A23" s="18"/>
      <c r="B23" s="326"/>
      <c r="C23" s="326"/>
      <c r="D23" s="326"/>
      <c r="E23" s="283"/>
      <c r="F23" s="283"/>
      <c r="G23" s="283"/>
      <c r="H23" s="319"/>
      <c r="I23" s="320"/>
      <c r="J23" s="320"/>
      <c r="K23" s="322"/>
      <c r="L23" s="319"/>
      <c r="M23" s="320"/>
      <c r="N23" s="320"/>
      <c r="O23" s="322"/>
      <c r="P23" s="309"/>
      <c r="Q23" s="310"/>
      <c r="R23" s="310"/>
      <c r="S23" s="312"/>
      <c r="T23" s="288"/>
      <c r="U23" s="289"/>
      <c r="V23" s="289"/>
      <c r="W23" s="291"/>
      <c r="X23" s="300"/>
      <c r="Y23" s="301"/>
      <c r="Z23" s="301"/>
      <c r="AA23" s="303"/>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row>
    <row r="24" spans="1:67" ht="15" customHeight="1" x14ac:dyDescent="0.25">
      <c r="A24" s="18"/>
      <c r="B24" s="326"/>
      <c r="C24" s="326"/>
      <c r="D24" s="326"/>
      <c r="E24" s="283"/>
      <c r="F24" s="283"/>
      <c r="G24" s="283"/>
      <c r="H24" s="319" t="str">
        <f>IF(AND('Mapa final'!$K$12="Muy Baja",'Mapa final'!$O$12="Leve"),CONCATENATE("R",'Mapa final'!$B$12),"")</f>
        <v/>
      </c>
      <c r="I24" s="320"/>
      <c r="J24" s="320" t="str">
        <f>IF(AND('Mapa final'!$K$15="Muy Baja",'Mapa final'!$O$15="Leve"),CONCATENATE("R",'Mapa final'!$B$15),"")</f>
        <v/>
      </c>
      <c r="K24" s="322"/>
      <c r="L24" s="319" t="str">
        <f>IF(AND('Mapa final'!$K$12="Muy Baja",'Mapa final'!$O$12="Menor"),CONCATENATE("R",'Mapa final'!$B$12),"")</f>
        <v/>
      </c>
      <c r="M24" s="320"/>
      <c r="N24" s="320" t="str">
        <f>IF(AND('Mapa final'!$K$15="Muy Baja",'Mapa final'!$O$15="Menor"),CONCATENATE("R",'Mapa final'!$B$15),"")</f>
        <v/>
      </c>
      <c r="O24" s="322"/>
      <c r="P24" s="309" t="str">
        <f>IF(AND('Mapa final'!$K$12="Muy Baja",'Mapa final'!$O$12="Moderado"),CONCATENATE("R",'Mapa final'!$B$12),"")</f>
        <v/>
      </c>
      <c r="Q24" s="310"/>
      <c r="R24" s="310" t="str">
        <f>IF(AND('Mapa final'!$K$15="Muy Baja",'Mapa final'!$O$15="Moderado"),CONCATENATE("R",'Mapa final'!$B$15),"")</f>
        <v/>
      </c>
      <c r="S24" s="312"/>
      <c r="T24" s="288" t="str">
        <f>IF(AND('Mapa final'!$K$12="Muy Baja",'Mapa final'!$O$12="Mayor"),CONCATENATE("R",'Mapa final'!$B$12),"")</f>
        <v>R3</v>
      </c>
      <c r="U24" s="289"/>
      <c r="V24" s="289" t="str">
        <f>IF(AND('Mapa final'!$K$15="Muy Baja",'Mapa final'!$O$15="Mayor"),CONCATENATE("R",'Mapa final'!$B$15),"")</f>
        <v/>
      </c>
      <c r="W24" s="291"/>
      <c r="X24" s="300" t="str">
        <f>IF(AND('Mapa final'!$K$12="Muy Baja",'Mapa final'!$O$12="Catastrófico"),CONCATENATE("R",'Mapa final'!$B$12),"")</f>
        <v/>
      </c>
      <c r="Y24" s="301"/>
      <c r="Z24" s="301" t="str">
        <f>IF(AND('Mapa final'!$K$15="Muy Baja",'Mapa final'!$O$15="Catastrófico"),CONCATENATE("R",'Mapa final'!$B$15),"")</f>
        <v/>
      </c>
      <c r="AA24" s="303"/>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row>
    <row r="25" spans="1:67" ht="15" customHeight="1" x14ac:dyDescent="0.25">
      <c r="A25" s="18"/>
      <c r="B25" s="326"/>
      <c r="C25" s="326"/>
      <c r="D25" s="326"/>
      <c r="E25" s="283"/>
      <c r="F25" s="283"/>
      <c r="G25" s="283"/>
      <c r="H25" s="323"/>
      <c r="I25" s="324"/>
      <c r="J25" s="324"/>
      <c r="K25" s="325"/>
      <c r="L25" s="323"/>
      <c r="M25" s="324"/>
      <c r="N25" s="324"/>
      <c r="O25" s="325"/>
      <c r="P25" s="313"/>
      <c r="Q25" s="314"/>
      <c r="R25" s="314"/>
      <c r="S25" s="315"/>
      <c r="T25" s="292"/>
      <c r="U25" s="293"/>
      <c r="V25" s="293"/>
      <c r="W25" s="294"/>
      <c r="X25" s="304"/>
      <c r="Y25" s="305"/>
      <c r="Z25" s="305"/>
      <c r="AA25" s="306"/>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row>
    <row r="26" spans="1:67" x14ac:dyDescent="0.25">
      <c r="A26" s="18"/>
      <c r="B26" s="18"/>
      <c r="C26" s="18"/>
      <c r="D26" s="18"/>
      <c r="E26" s="18"/>
      <c r="F26" s="18"/>
      <c r="G26" s="18"/>
      <c r="H26" s="284" t="s">
        <v>82</v>
      </c>
      <c r="I26" s="285"/>
      <c r="J26" s="285"/>
      <c r="K26" s="285"/>
      <c r="L26" s="284" t="s">
        <v>81</v>
      </c>
      <c r="M26" s="285"/>
      <c r="N26" s="285"/>
      <c r="O26" s="285"/>
      <c r="P26" s="284" t="s">
        <v>80</v>
      </c>
      <c r="Q26" s="285"/>
      <c r="R26" s="285"/>
      <c r="S26" s="285"/>
      <c r="T26" s="284" t="s">
        <v>79</v>
      </c>
      <c r="U26" s="284"/>
      <c r="V26" s="285"/>
      <c r="W26" s="285"/>
      <c r="X26" s="295" t="s">
        <v>78</v>
      </c>
      <c r="Y26" s="296"/>
      <c r="Z26" s="296"/>
      <c r="AA26" s="296"/>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row>
    <row r="27" spans="1:67" x14ac:dyDescent="0.25">
      <c r="A27" s="18"/>
      <c r="B27" s="18"/>
      <c r="C27" s="18"/>
      <c r="D27" s="18"/>
      <c r="E27" s="18"/>
      <c r="F27" s="18"/>
      <c r="G27" s="18"/>
      <c r="H27" s="285"/>
      <c r="I27" s="285"/>
      <c r="J27" s="285"/>
      <c r="K27" s="285"/>
      <c r="L27" s="285"/>
      <c r="M27" s="285"/>
      <c r="N27" s="285"/>
      <c r="O27" s="285"/>
      <c r="P27" s="285"/>
      <c r="Q27" s="285"/>
      <c r="R27" s="285"/>
      <c r="S27" s="285"/>
      <c r="T27" s="285"/>
      <c r="U27" s="285"/>
      <c r="V27" s="285"/>
      <c r="W27" s="285"/>
      <c r="X27" s="296"/>
      <c r="Y27" s="296"/>
      <c r="Z27" s="296"/>
      <c r="AA27" s="296"/>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row>
    <row r="28" spans="1:67" x14ac:dyDescent="0.25">
      <c r="A28" s="18"/>
      <c r="B28" s="18"/>
      <c r="C28" s="18"/>
      <c r="D28" s="18"/>
      <c r="E28" s="18"/>
      <c r="F28" s="18"/>
      <c r="G28" s="18"/>
      <c r="H28" s="285"/>
      <c r="I28" s="285"/>
      <c r="J28" s="285"/>
      <c r="K28" s="285"/>
      <c r="L28" s="285"/>
      <c r="M28" s="285"/>
      <c r="N28" s="285"/>
      <c r="O28" s="285"/>
      <c r="P28" s="285"/>
      <c r="Q28" s="285"/>
      <c r="R28" s="285"/>
      <c r="S28" s="285"/>
      <c r="T28" s="285"/>
      <c r="U28" s="285"/>
      <c r="V28" s="285"/>
      <c r="W28" s="285"/>
      <c r="X28" s="296"/>
      <c r="Y28" s="296"/>
      <c r="Z28" s="296"/>
      <c r="AA28" s="296"/>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row>
    <row r="29" spans="1:67" x14ac:dyDescent="0.25">
      <c r="A29" s="18"/>
      <c r="B29" s="18"/>
      <c r="C29" s="18"/>
      <c r="D29" s="18"/>
      <c r="E29" s="18"/>
      <c r="F29" s="18"/>
      <c r="G29" s="18"/>
      <c r="H29" s="285"/>
      <c r="I29" s="285"/>
      <c r="J29" s="285"/>
      <c r="K29" s="285"/>
      <c r="L29" s="285"/>
      <c r="M29" s="285"/>
      <c r="N29" s="285"/>
      <c r="O29" s="285"/>
      <c r="P29" s="285"/>
      <c r="Q29" s="285"/>
      <c r="R29" s="285"/>
      <c r="S29" s="285"/>
      <c r="T29" s="285"/>
      <c r="U29" s="285"/>
      <c r="V29" s="285"/>
      <c r="W29" s="285"/>
      <c r="X29" s="296"/>
      <c r="Y29" s="296"/>
      <c r="Z29" s="296"/>
      <c r="AA29" s="296"/>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67" x14ac:dyDescent="0.25">
      <c r="A30" s="18"/>
      <c r="B30" s="18"/>
      <c r="C30" s="18"/>
      <c r="D30" s="18"/>
      <c r="E30" s="18"/>
      <c r="F30" s="18"/>
      <c r="G30" s="18"/>
      <c r="H30" s="285"/>
      <c r="I30" s="285"/>
      <c r="J30" s="285"/>
      <c r="K30" s="285"/>
      <c r="L30" s="285"/>
      <c r="M30" s="285"/>
      <c r="N30" s="285"/>
      <c r="O30" s="285"/>
      <c r="P30" s="285"/>
      <c r="Q30" s="285"/>
      <c r="R30" s="285"/>
      <c r="S30" s="285"/>
      <c r="T30" s="285"/>
      <c r="U30" s="285"/>
      <c r="V30" s="285"/>
      <c r="W30" s="285"/>
      <c r="X30" s="296"/>
      <c r="Y30" s="296"/>
      <c r="Z30" s="296"/>
      <c r="AA30" s="296"/>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67" x14ac:dyDescent="0.25">
      <c r="A31" s="18"/>
      <c r="B31" s="18"/>
      <c r="C31" s="18"/>
      <c r="D31" s="18"/>
      <c r="E31" s="18"/>
      <c r="F31" s="18"/>
      <c r="G31" s="18"/>
      <c r="H31" s="285"/>
      <c r="I31" s="285"/>
      <c r="J31" s="285"/>
      <c r="K31" s="285"/>
      <c r="L31" s="285"/>
      <c r="M31" s="285"/>
      <c r="N31" s="285"/>
      <c r="O31" s="285"/>
      <c r="P31" s="285"/>
      <c r="Q31" s="285"/>
      <c r="R31" s="285"/>
      <c r="S31" s="285"/>
      <c r="T31" s="285"/>
      <c r="U31" s="285"/>
      <c r="V31" s="285"/>
      <c r="W31" s="285"/>
      <c r="X31" s="296"/>
      <c r="Y31" s="296"/>
      <c r="Z31" s="296"/>
      <c r="AA31" s="296"/>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7"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67" ht="15" customHeight="1" x14ac:dyDescent="0.25">
      <c r="A33" s="1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67" ht="15" customHeight="1" x14ac:dyDescent="0.25">
      <c r="A34" s="18"/>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67"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67"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67"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67"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row>
    <row r="40" spans="1:67"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row>
    <row r="41" spans="1:67"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spans="1:67"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spans="1:67"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spans="1:67"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spans="1:67"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spans="1:67"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spans="1:67"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spans="1:67"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spans="1:6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spans="1:6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spans="1:67"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spans="1:67"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spans="1:67"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spans="1:67"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spans="1:67"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spans="1:67"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spans="1:67"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spans="1:67"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spans="1:67"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row>
    <row r="60" spans="1:67"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row>
    <row r="61" spans="1:67"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row>
    <row r="62" spans="1:67"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row>
    <row r="63" spans="1:67"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row>
    <row r="64" spans="1:67"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row>
    <row r="65" spans="1:5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row>
    <row r="66" spans="1:5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row>
    <row r="67" spans="1:5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row>
    <row r="68" spans="1:5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row>
    <row r="70" spans="1:5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row>
    <row r="71" spans="1:5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row>
    <row r="73" spans="1:5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row>
    <row r="74" spans="1:5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row>
    <row r="75" spans="1:5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row>
    <row r="76" spans="1:5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row>
    <row r="77" spans="1:5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row>
    <row r="78" spans="1:5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row>
    <row r="79" spans="1:5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row>
    <row r="80" spans="1:5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row>
    <row r="81" spans="1:5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row>
    <row r="82" spans="1:5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row>
    <row r="83" spans="1:5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row>
    <row r="84" spans="1:5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row>
    <row r="85" spans="1:5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row>
    <row r="86" spans="1:5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row>
    <row r="87" spans="1:5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row>
    <row r="88" spans="1:5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row>
    <row r="89" spans="1:5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row>
    <row r="90" spans="1:5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row>
    <row r="91" spans="1:5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row>
    <row r="92" spans="1:5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row>
    <row r="93" spans="1:5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row>
    <row r="94" spans="1:5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row>
    <row r="95" spans="1:5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row>
    <row r="96" spans="1:5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row>
    <row r="97" spans="1:5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row>
    <row r="98" spans="1:5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row>
    <row r="99" spans="1:5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row>
    <row r="100" spans="1:5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row>
    <row r="101" spans="1:5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row>
    <row r="102" spans="1:51" x14ac:dyDescent="0.2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row>
    <row r="103" spans="1:51" x14ac:dyDescent="0.2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1" x14ac:dyDescent="0.2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1" x14ac:dyDescent="0.2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1" x14ac:dyDescent="0.2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1" x14ac:dyDescent="0.2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1" x14ac:dyDescent="0.2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1" x14ac:dyDescent="0.2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1" x14ac:dyDescent="0.2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1"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1" x14ac:dyDescent="0.2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2:51" x14ac:dyDescent="0.2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2:51" x14ac:dyDescent="0.2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2:51" x14ac:dyDescent="0.2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2:51" x14ac:dyDescent="0.2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2:51" x14ac:dyDescent="0.25">
      <c r="B117" s="18"/>
      <c r="C117" s="18"/>
      <c r="D117" s="18"/>
      <c r="E117" s="18"/>
      <c r="F117" s="18"/>
      <c r="G117" s="18"/>
    </row>
    <row r="118" spans="2:51" x14ac:dyDescent="0.25">
      <c r="B118" s="18"/>
      <c r="C118" s="18"/>
      <c r="D118" s="18"/>
      <c r="E118" s="18"/>
      <c r="F118" s="18"/>
      <c r="G118" s="18"/>
    </row>
    <row r="119" spans="2:51" x14ac:dyDescent="0.25">
      <c r="B119" s="18"/>
      <c r="C119" s="18"/>
      <c r="D119" s="18"/>
      <c r="E119" s="18"/>
      <c r="F119" s="18"/>
      <c r="G119" s="18"/>
    </row>
    <row r="120" spans="2:51" x14ac:dyDescent="0.25">
      <c r="B120" s="18"/>
      <c r="C120" s="18"/>
      <c r="D120" s="18"/>
      <c r="E120" s="18"/>
      <c r="F120" s="18"/>
      <c r="G120" s="18"/>
    </row>
  </sheetData>
  <mergeCells count="117">
    <mergeCell ref="B2:G4"/>
    <mergeCell ref="L22:M23"/>
    <mergeCell ref="N22:O23"/>
    <mergeCell ref="L24:M25"/>
    <mergeCell ref="N24:O25"/>
    <mergeCell ref="H22:I23"/>
    <mergeCell ref="J22:K23"/>
    <mergeCell ref="H24:I25"/>
    <mergeCell ref="J24:K25"/>
    <mergeCell ref="H18:I19"/>
    <mergeCell ref="J18:K19"/>
    <mergeCell ref="H20:I21"/>
    <mergeCell ref="J20:K21"/>
    <mergeCell ref="L10:M11"/>
    <mergeCell ref="N10:O11"/>
    <mergeCell ref="L12:M13"/>
    <mergeCell ref="N12:O13"/>
    <mergeCell ref="H10:I11"/>
    <mergeCell ref="J10:K11"/>
    <mergeCell ref="H12:I13"/>
    <mergeCell ref="J12:K13"/>
    <mergeCell ref="E6:G9"/>
    <mergeCell ref="E10:G13"/>
    <mergeCell ref="B6:D25"/>
    <mergeCell ref="P22:Q23"/>
    <mergeCell ref="R22:S23"/>
    <mergeCell ref="P24:Q25"/>
    <mergeCell ref="R24:S25"/>
    <mergeCell ref="L18:M19"/>
    <mergeCell ref="N18:O19"/>
    <mergeCell ref="L20:M21"/>
    <mergeCell ref="N20:O21"/>
    <mergeCell ref="P18:Q19"/>
    <mergeCell ref="R18:S19"/>
    <mergeCell ref="P20:Q21"/>
    <mergeCell ref="R20:S21"/>
    <mergeCell ref="P14:Q15"/>
    <mergeCell ref="R14:S15"/>
    <mergeCell ref="P16:Q17"/>
    <mergeCell ref="R16:S17"/>
    <mergeCell ref="L14:M15"/>
    <mergeCell ref="N14:O15"/>
    <mergeCell ref="L16:M17"/>
    <mergeCell ref="N16:O17"/>
    <mergeCell ref="H14:I15"/>
    <mergeCell ref="J14:K15"/>
    <mergeCell ref="H16:I17"/>
    <mergeCell ref="J16:K17"/>
    <mergeCell ref="X22:Y23"/>
    <mergeCell ref="Z22:AA23"/>
    <mergeCell ref="X24:Y25"/>
    <mergeCell ref="Z24:AA25"/>
    <mergeCell ref="X18:Y19"/>
    <mergeCell ref="Z18:AA19"/>
    <mergeCell ref="X20:Y21"/>
    <mergeCell ref="Z20:AA21"/>
    <mergeCell ref="X14:Y15"/>
    <mergeCell ref="Z14:AA15"/>
    <mergeCell ref="X16:Y17"/>
    <mergeCell ref="Z16:AA17"/>
    <mergeCell ref="T24:U25"/>
    <mergeCell ref="V24:W25"/>
    <mergeCell ref="T18:U19"/>
    <mergeCell ref="V18:W19"/>
    <mergeCell ref="T20:U21"/>
    <mergeCell ref="V20:W21"/>
    <mergeCell ref="T14:U15"/>
    <mergeCell ref="V14:W15"/>
    <mergeCell ref="T16:U17"/>
    <mergeCell ref="V16:W17"/>
    <mergeCell ref="T22:U23"/>
    <mergeCell ref="V22:W23"/>
    <mergeCell ref="R10:S11"/>
    <mergeCell ref="P12:Q13"/>
    <mergeCell ref="R12:S13"/>
    <mergeCell ref="T8:U9"/>
    <mergeCell ref="V8:W9"/>
    <mergeCell ref="T6:U7"/>
    <mergeCell ref="V6:W7"/>
    <mergeCell ref="H2:AA4"/>
    <mergeCell ref="H6:I7"/>
    <mergeCell ref="X10:Y11"/>
    <mergeCell ref="Z10:AA11"/>
    <mergeCell ref="X12:Y13"/>
    <mergeCell ref="Z12:AA13"/>
    <mergeCell ref="X6:Y7"/>
    <mergeCell ref="Z6:AA7"/>
    <mergeCell ref="X8:Y9"/>
    <mergeCell ref="Z8:AA9"/>
    <mergeCell ref="T10:U11"/>
    <mergeCell ref="V10:W11"/>
    <mergeCell ref="T12:U13"/>
    <mergeCell ref="V12:W13"/>
    <mergeCell ref="AC6:AH9"/>
    <mergeCell ref="AC10:AH13"/>
    <mergeCell ref="AC14:AH17"/>
    <mergeCell ref="AC18:AH21"/>
    <mergeCell ref="E14:G17"/>
    <mergeCell ref="E22:G25"/>
    <mergeCell ref="H26:K31"/>
    <mergeCell ref="L26:O31"/>
    <mergeCell ref="P26:S31"/>
    <mergeCell ref="P6:Q7"/>
    <mergeCell ref="R6:S7"/>
    <mergeCell ref="P8:Q9"/>
    <mergeCell ref="R8:S9"/>
    <mergeCell ref="N6:O7"/>
    <mergeCell ref="T26:W31"/>
    <mergeCell ref="X26:AA31"/>
    <mergeCell ref="L6:M7"/>
    <mergeCell ref="J6:K7"/>
    <mergeCell ref="J8:K9"/>
    <mergeCell ref="H8:I9"/>
    <mergeCell ref="E18:G21"/>
    <mergeCell ref="L8:M9"/>
    <mergeCell ref="N8:O9"/>
    <mergeCell ref="P10:Q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V217"/>
  <sheetViews>
    <sheetView zoomScale="55" zoomScaleNormal="55" workbookViewId="0">
      <selection activeCell="T26" sqref="T26:V30"/>
    </sheetView>
  </sheetViews>
  <sheetFormatPr baseColWidth="10" defaultRowHeight="15" x14ac:dyDescent="0.25"/>
  <cols>
    <col min="2" max="15" width="5.7109375" customWidth="1"/>
    <col min="16" max="16" width="6.7109375" customWidth="1"/>
    <col min="17" max="17" width="9.140625" customWidth="1"/>
    <col min="18" max="18" width="8.42578125" customWidth="1"/>
    <col min="19" max="19" width="5.7109375" customWidth="1"/>
    <col min="20" max="20" width="6.140625" customWidth="1"/>
    <col min="21" max="22" width="5.7109375" customWidth="1"/>
    <col min="24" max="29" width="5.7109375" customWidth="1"/>
  </cols>
  <sheetData>
    <row r="1" spans="1:74"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row>
    <row r="2" spans="1:74" ht="18" customHeight="1" x14ac:dyDescent="0.25">
      <c r="A2" s="18"/>
      <c r="B2" s="341" t="s">
        <v>110</v>
      </c>
      <c r="C2" s="342"/>
      <c r="D2" s="342"/>
      <c r="E2" s="342"/>
      <c r="F2" s="342"/>
      <c r="G2" s="342"/>
      <c r="H2" s="297" t="s">
        <v>1</v>
      </c>
      <c r="I2" s="297"/>
      <c r="J2" s="297"/>
      <c r="K2" s="297"/>
      <c r="L2" s="297"/>
      <c r="M2" s="297"/>
      <c r="N2" s="297"/>
      <c r="O2" s="297"/>
      <c r="P2" s="297"/>
      <c r="Q2" s="297"/>
      <c r="R2" s="297"/>
      <c r="S2" s="297"/>
      <c r="T2" s="297"/>
      <c r="U2" s="297"/>
      <c r="V2" s="297"/>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row>
    <row r="3" spans="1:74" ht="18.75" customHeight="1" x14ac:dyDescent="0.25">
      <c r="A3" s="18"/>
      <c r="B3" s="342"/>
      <c r="C3" s="342"/>
      <c r="D3" s="342"/>
      <c r="E3" s="342"/>
      <c r="F3" s="342"/>
      <c r="G3" s="342"/>
      <c r="H3" s="297"/>
      <c r="I3" s="297"/>
      <c r="J3" s="297"/>
      <c r="K3" s="297"/>
      <c r="L3" s="297"/>
      <c r="M3" s="297"/>
      <c r="N3" s="297"/>
      <c r="O3" s="297"/>
      <c r="P3" s="297"/>
      <c r="Q3" s="297"/>
      <c r="R3" s="297"/>
      <c r="S3" s="297"/>
      <c r="T3" s="297"/>
      <c r="U3" s="297"/>
      <c r="V3" s="29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row>
    <row r="4" spans="1:74" ht="15" customHeight="1" x14ac:dyDescent="0.25">
      <c r="A4" s="18"/>
      <c r="B4" s="342"/>
      <c r="C4" s="342"/>
      <c r="D4" s="342"/>
      <c r="E4" s="342"/>
      <c r="F4" s="342"/>
      <c r="G4" s="342"/>
      <c r="H4" s="297"/>
      <c r="I4" s="297"/>
      <c r="J4" s="297"/>
      <c r="K4" s="297"/>
      <c r="L4" s="297"/>
      <c r="M4" s="297"/>
      <c r="N4" s="297"/>
      <c r="O4" s="297"/>
      <c r="P4" s="297"/>
      <c r="Q4" s="297"/>
      <c r="R4" s="297"/>
      <c r="S4" s="297"/>
      <c r="T4" s="297"/>
      <c r="U4" s="297"/>
      <c r="V4" s="297"/>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row>
    <row r="5" spans="1:74" ht="15.75" thickBot="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row>
    <row r="6" spans="1:74" ht="15" customHeight="1" x14ac:dyDescent="0.25">
      <c r="A6" s="18"/>
      <c r="B6" s="326" t="s">
        <v>3</v>
      </c>
      <c r="C6" s="326"/>
      <c r="D6" s="326"/>
      <c r="E6" s="333" t="s">
        <v>86</v>
      </c>
      <c r="F6" s="334"/>
      <c r="G6" s="334"/>
      <c r="H6" s="67" t="str">
        <f>IF(AND('Mapa final'!$AD$9="Muy Alta",'Mapa final'!$AF$9="Leve"),CONCATENATE("R1C",'Mapa final'!$S$9),"")</f>
        <v/>
      </c>
      <c r="I6" s="68" t="str">
        <f>IF(AND('Mapa final'!$AD$10="Muy Alta",'Mapa final'!$AF$10="Leve"),CONCATENATE("R1C",'Mapa final'!$S$10),"")</f>
        <v/>
      </c>
      <c r="J6" s="69" t="e">
        <f>IF(AND('Mapa final'!#REF!="Muy Alta",'Mapa final'!#REF!="Leve"),CONCATENATE("R1C",'Mapa final'!$S$11),"")</f>
        <v>#REF!</v>
      </c>
      <c r="K6" s="67" t="str">
        <f>IF(AND('Mapa final'!$AD$9="Muy Alta",'Mapa final'!$AF$9="Menor"),CONCATENATE("R1C",'Mapa final'!$S$9),"")</f>
        <v/>
      </c>
      <c r="L6" s="68" t="str">
        <f>IF(AND('Mapa final'!$AD$10="Muy Alta",'Mapa final'!$AF$10="Menor"),CONCATENATE("R1C",'Mapa final'!$S$10),"")</f>
        <v/>
      </c>
      <c r="M6" s="69" t="e">
        <f>IF(AND('Mapa final'!#REF!="Muy Alta",'Mapa final'!#REF!="Menor"),CONCATENATE("R1C",'Mapa final'!$S$11),"")</f>
        <v>#REF!</v>
      </c>
      <c r="N6" s="67" t="str">
        <f>IF(AND('Mapa final'!$AD$9="Muy Alta",'Mapa final'!$AF$9="Moderado"),CONCATENATE("R1C",'Mapa final'!$S$9),"")</f>
        <v/>
      </c>
      <c r="O6" s="68" t="str">
        <f>IF(AND('Mapa final'!$AD$10="Muy Alta",'Mapa final'!$AF$10="Moderado"),CONCATENATE("R1C",'Mapa final'!$S$10),"")</f>
        <v/>
      </c>
      <c r="P6" s="69" t="e">
        <f>IF(AND('Mapa final'!#REF!="Muy Alta",'Mapa final'!#REF!="Moderado"),CONCATENATE("R1C",'Mapa final'!$S$11),"")</f>
        <v>#REF!</v>
      </c>
      <c r="Q6" s="67" t="str">
        <f>IF(AND('Mapa final'!$AD$9="Muy Alta",'Mapa final'!$AF$9="Mayor"),CONCATENATE("R1C",'Mapa final'!$S$9),"")</f>
        <v/>
      </c>
      <c r="R6" s="68" t="str">
        <f>IF(AND('Mapa final'!$AD$10="Muy Alta",'Mapa final'!$AF$10="Mayor"),CONCATENATE("R1C",'Mapa final'!$S$10),"")</f>
        <v/>
      </c>
      <c r="S6" s="69" t="e">
        <f>IF(AND('Mapa final'!#REF!="Muy Alta",'Mapa final'!#REF!="Mayor"),CONCATENATE("R1C",'Mapa final'!$S$11),"")</f>
        <v>#REF!</v>
      </c>
      <c r="T6" s="75" t="str">
        <f>IF(AND('Mapa final'!$AD$9="Muy Alta",'Mapa final'!$AF$9="Catastrófico"),CONCATENATE("R1C",'Mapa final'!$S$9),"")</f>
        <v/>
      </c>
      <c r="U6" s="76" t="str">
        <f>IF(AND('Mapa final'!$AD$10="Muy Alta",'Mapa final'!$AF$10="Catastrófico"),CONCATENATE("R1C",'Mapa final'!$S$10),"")</f>
        <v/>
      </c>
      <c r="V6" s="77" t="e">
        <f>IF(AND('Mapa final'!#REF!="Muy Alta",'Mapa final'!#REF!="Catastrófico"),CONCATENATE("R1C",'Mapa final'!$S$11),"")</f>
        <v>#REF!</v>
      </c>
      <c r="W6" s="18"/>
      <c r="X6" s="335" t="s">
        <v>66</v>
      </c>
      <c r="Y6" s="336"/>
      <c r="Z6" s="336"/>
      <c r="AA6" s="336"/>
      <c r="AB6" s="336"/>
      <c r="AC6" s="337"/>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row>
    <row r="7" spans="1:74" ht="15" customHeight="1" x14ac:dyDescent="0.25">
      <c r="A7" s="18"/>
      <c r="B7" s="326"/>
      <c r="C7" s="326"/>
      <c r="D7" s="326"/>
      <c r="E7" s="334"/>
      <c r="F7" s="334"/>
      <c r="G7" s="334"/>
      <c r="H7" s="70" t="str">
        <f>IF(AND('Mapa final'!$AD$11="Muy Alta",'Mapa final'!$AF$11="Leve"),CONCATENATE("R2C",'Mapa final'!$S$11),"")</f>
        <v/>
      </c>
      <c r="I7" s="14" t="e">
        <f>IF(AND('Mapa final'!#REF!="Muy Alta",'Mapa final'!#REF!="Leve"),CONCATENATE("R2C",'Mapa final'!#REF!),"")</f>
        <v>#REF!</v>
      </c>
      <c r="J7" s="71" t="str">
        <f>IF(AND('Mapa final'!$AD$12="Muy Alta",'Mapa final'!$AF$12="Leve"),CONCATENATE("R2C",'Mapa final'!$S$12),"")</f>
        <v/>
      </c>
      <c r="K7" s="70" t="str">
        <f>IF(AND('Mapa final'!$AD$11="Muy Alta",'Mapa final'!$AF$11="Menor"),CONCATENATE("R2C",'Mapa final'!$S$11),"")</f>
        <v/>
      </c>
      <c r="L7" s="14" t="e">
        <f>IF(AND('Mapa final'!#REF!="Muy Alta",'Mapa final'!#REF!="Menor"),CONCATENATE("R2C",'Mapa final'!#REF!),"")</f>
        <v>#REF!</v>
      </c>
      <c r="M7" s="71" t="str">
        <f>IF(AND('Mapa final'!$AD$12="Muy Alta",'Mapa final'!$AF$12="Menor"),CONCATENATE("R2C",'Mapa final'!$S$12),"")</f>
        <v/>
      </c>
      <c r="N7" s="70" t="str">
        <f>IF(AND('Mapa final'!$AD$11="Muy Alta",'Mapa final'!$AF$11="Moderado"),CONCATENATE("R2C",'Mapa final'!$S$11),"")</f>
        <v/>
      </c>
      <c r="O7" s="14" t="e">
        <f>IF(AND('Mapa final'!#REF!="Muy Alta",'Mapa final'!#REF!="Moderado"),CONCATENATE("R2C",'Mapa final'!#REF!),"")</f>
        <v>#REF!</v>
      </c>
      <c r="P7" s="71" t="str">
        <f>IF(AND('Mapa final'!$AD$12="Muy Alta",'Mapa final'!$AF$12="Moderado"),CONCATENATE("R2C",'Mapa final'!$S$12),"")</f>
        <v/>
      </c>
      <c r="Q7" s="70" t="str">
        <f>IF(AND('Mapa final'!$AD$11="Muy Alta",'Mapa final'!$AF$11="Mayor"),CONCATENATE("R2C",'Mapa final'!$S$11),"")</f>
        <v/>
      </c>
      <c r="R7" s="14" t="e">
        <f>IF(AND('Mapa final'!#REF!="Muy Alta",'Mapa final'!#REF!="Mayor"),CONCATENATE("R2C",'Mapa final'!#REF!),"")</f>
        <v>#REF!</v>
      </c>
      <c r="S7" s="71" t="str">
        <f>IF(AND('Mapa final'!$AD$12="Muy Alta",'Mapa final'!$AF$12="Mayor"),CONCATENATE("R2C",'Mapa final'!$S$12),"")</f>
        <v/>
      </c>
      <c r="T7" s="78" t="str">
        <f>IF(AND('Mapa final'!$AD$11="Muy Alta",'Mapa final'!$AF$11="Catastrófico"),CONCATENATE("R2C",'Mapa final'!$S$11),"")</f>
        <v/>
      </c>
      <c r="U7" s="15" t="e">
        <f>IF(AND('Mapa final'!#REF!="Muy Alta",'Mapa final'!#REF!="Catastrófico"),CONCATENATE("R2C",'Mapa final'!#REF!),"")</f>
        <v>#REF!</v>
      </c>
      <c r="V7" s="79" t="str">
        <f>IF(AND('Mapa final'!$AD$12="Muy Alta",'Mapa final'!$AF$12="Catastrófico"),CONCATENATE("R2C",'Mapa final'!$S$12),"")</f>
        <v/>
      </c>
      <c r="W7" s="18"/>
      <c r="X7" s="338"/>
      <c r="Y7" s="339"/>
      <c r="Z7" s="339"/>
      <c r="AA7" s="339"/>
      <c r="AB7" s="339"/>
      <c r="AC7" s="340"/>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row>
    <row r="8" spans="1:74" ht="15" customHeight="1" x14ac:dyDescent="0.25">
      <c r="A8" s="18"/>
      <c r="B8" s="326"/>
      <c r="C8" s="326"/>
      <c r="D8" s="326"/>
      <c r="E8" s="334"/>
      <c r="F8" s="334"/>
      <c r="G8" s="334"/>
      <c r="H8" s="70" t="str">
        <f>IF(AND('Mapa final'!$AD$12="Muy Alta",'Mapa final'!$AF$12="Leve"),CONCATENATE("R3C",'Mapa final'!$S$12),"")</f>
        <v/>
      </c>
      <c r="I8" s="14" t="str">
        <f>IF(AND('Mapa final'!$AD$13="Muy Alta",'Mapa final'!$AF$13="Leve"),CONCATENATE("R3C",'Mapa final'!$S$13),"")</f>
        <v/>
      </c>
      <c r="J8" s="71" t="str">
        <f>IF(AND('Mapa final'!$AD$14="Muy Alta",'Mapa final'!$AF$14="Leve"),CONCATENATE("R3C",'Mapa final'!$S$14),"")</f>
        <v/>
      </c>
      <c r="K8" s="70" t="str">
        <f>IF(AND('Mapa final'!$AD$12="Muy Alta",'Mapa final'!$AF$12="Menor"),CONCATENATE("R3C",'Mapa final'!$S$12),"")</f>
        <v/>
      </c>
      <c r="L8" s="14" t="str">
        <f>IF(AND('Mapa final'!$AD$13="Muy Alta",'Mapa final'!$AF$13="Menor"),CONCATENATE("R3C",'Mapa final'!$S$13),"")</f>
        <v/>
      </c>
      <c r="M8" s="71" t="str">
        <f>IF(AND('Mapa final'!$AD$14="Muy Alta",'Mapa final'!$AF$14="Menor"),CONCATENATE("R3C",'Mapa final'!$S$14),"")</f>
        <v/>
      </c>
      <c r="N8" s="70" t="str">
        <f>IF(AND('Mapa final'!$AD$12="Muy Alta",'Mapa final'!$AF$12="Moderado"),CONCATENATE("R3C",'Mapa final'!$S$12),"")</f>
        <v/>
      </c>
      <c r="O8" s="14" t="str">
        <f>IF(AND('Mapa final'!$AD$13="Muy Alta",'Mapa final'!$AF$13="Moderado"),CONCATENATE("R3C",'Mapa final'!$S$13),"")</f>
        <v/>
      </c>
      <c r="P8" s="71" t="str">
        <f>IF(AND('Mapa final'!$AD$14="Muy Alta",'Mapa final'!$AF$14="Moderado"),CONCATENATE("R3C",'Mapa final'!$S$14),"")</f>
        <v/>
      </c>
      <c r="Q8" s="70" t="str">
        <f>IF(AND('Mapa final'!$AD$12="Muy Alta",'Mapa final'!$AF$12="Mayor"),CONCATENATE("R3C",'Mapa final'!$S$12),"")</f>
        <v/>
      </c>
      <c r="R8" s="14" t="str">
        <f>IF(AND('Mapa final'!$AD$13="Muy Alta",'Mapa final'!$AF$13="Mayor"),CONCATENATE("R3C",'Mapa final'!$S$13),"")</f>
        <v/>
      </c>
      <c r="S8" s="71" t="str">
        <f>IF(AND('Mapa final'!$AD$14="Muy Alta",'Mapa final'!$AF$14="Mayor"),CONCATENATE("R3C",'Mapa final'!$S$14),"")</f>
        <v/>
      </c>
      <c r="T8" s="78" t="str">
        <f>IF(AND('Mapa final'!$AD$12="Muy Alta",'Mapa final'!$AF$12="Catastrófico"),CONCATENATE("R3C",'Mapa final'!$S$12),"")</f>
        <v/>
      </c>
      <c r="U8" s="15" t="str">
        <f>IF(AND('Mapa final'!$AD$13="Muy Alta",'Mapa final'!$AF$13="Catastrófico"),CONCATENATE("R3C",'Mapa final'!$S$13),"")</f>
        <v/>
      </c>
      <c r="V8" s="79" t="str">
        <f>IF(AND('Mapa final'!$AD$14="Muy Alta",'Mapa final'!$AF$14="Catastrófico"),CONCATENATE("R3C",'Mapa final'!$S$14),"")</f>
        <v/>
      </c>
      <c r="W8" s="18"/>
      <c r="X8" s="338"/>
      <c r="Y8" s="339"/>
      <c r="Z8" s="339"/>
      <c r="AA8" s="339"/>
      <c r="AB8" s="339"/>
      <c r="AC8" s="340"/>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row>
    <row r="9" spans="1:74" ht="15" customHeight="1" thickBot="1" x14ac:dyDescent="0.3">
      <c r="A9" s="18"/>
      <c r="B9" s="326"/>
      <c r="C9" s="326"/>
      <c r="D9" s="326"/>
      <c r="E9" s="334"/>
      <c r="F9" s="334"/>
      <c r="G9" s="334"/>
      <c r="H9" s="72" t="str">
        <f>IF(AND('Mapa final'!$AD$15="Muy Alta",'Mapa final'!$AF$15="Leve"),CONCATENATE("R4C",'Mapa final'!$S$15),"")</f>
        <v/>
      </c>
      <c r="I9" s="73" t="str">
        <f>IF(AND('Mapa final'!$AD$16="Muy Alta",'Mapa final'!$AF$16="Leve"),CONCATENATE("R4C",'Mapa final'!$S$16),"")</f>
        <v/>
      </c>
      <c r="J9" s="74" t="e">
        <f>IF(AND('Mapa final'!#REF!="Muy Alta",'Mapa final'!#REF!="Leve"),CONCATENATE("R4C",'Mapa final'!#REF!),"")</f>
        <v>#REF!</v>
      </c>
      <c r="K9" s="72" t="str">
        <f>IF(AND('Mapa final'!$AD$15="Muy Alta",'Mapa final'!$AF$15="Menor"),CONCATENATE("R4C",'Mapa final'!$S$15),"")</f>
        <v/>
      </c>
      <c r="L9" s="73" t="str">
        <f>IF(AND('Mapa final'!$AD$16="Muy Alta",'Mapa final'!$AF$16="Menor"),CONCATENATE("R4C",'Mapa final'!$S$16),"")</f>
        <v/>
      </c>
      <c r="M9" s="74" t="e">
        <f>IF(AND('Mapa final'!#REF!="Muy Alta",'Mapa final'!#REF!="Menor"),CONCATENATE("R4C",'Mapa final'!#REF!),"")</f>
        <v>#REF!</v>
      </c>
      <c r="N9" s="72" t="str">
        <f>IF(AND('Mapa final'!$AD$15="Muy Alta",'Mapa final'!$AF$15="Moderado"),CONCATENATE("R4C",'Mapa final'!$S$15),"")</f>
        <v/>
      </c>
      <c r="O9" s="73" t="str">
        <f>IF(AND('Mapa final'!$AD$16="Muy Alta",'Mapa final'!$AF$16="Moderado"),CONCATENATE("R4C",'Mapa final'!$S$16),"")</f>
        <v/>
      </c>
      <c r="P9" s="74" t="e">
        <f>IF(AND('Mapa final'!#REF!="Muy Alta",'Mapa final'!#REF!="Moderado"),CONCATENATE("R4C",'Mapa final'!#REF!),"")</f>
        <v>#REF!</v>
      </c>
      <c r="Q9" s="72" t="str">
        <f>IF(AND('Mapa final'!$AD$15="Muy Alta",'Mapa final'!$AF$15="Mayor"),CONCATENATE("R4C",'Mapa final'!$S$15),"")</f>
        <v/>
      </c>
      <c r="R9" s="73" t="str">
        <f>IF(AND('Mapa final'!$AD$16="Muy Alta",'Mapa final'!$AF$16="Mayor"),CONCATENATE("R4C",'Mapa final'!$S$16),"")</f>
        <v/>
      </c>
      <c r="S9" s="74" t="e">
        <f>IF(AND('Mapa final'!#REF!="Muy Alta",'Mapa final'!#REF!="Mayor"),CONCATENATE("R4C",'Mapa final'!#REF!),"")</f>
        <v>#REF!</v>
      </c>
      <c r="T9" s="80" t="str">
        <f>IF(AND('Mapa final'!$AD$15="Muy Alta",'Mapa final'!$AF$15="Catastrófico"),CONCATENATE("R4C",'Mapa final'!$S$15),"")</f>
        <v/>
      </c>
      <c r="U9" s="81" t="str">
        <f>IF(AND('Mapa final'!$AD$16="Muy Alta",'Mapa final'!$AF$16="Catastrófico"),CONCATENATE("R4C",'Mapa final'!$S$16),"")</f>
        <v/>
      </c>
      <c r="V9" s="82" t="e">
        <f>IF(AND('Mapa final'!#REF!="Muy Alta",'Mapa final'!#REF!="Catastrófico"),CONCATENATE("R4C",'Mapa final'!#REF!),"")</f>
        <v>#REF!</v>
      </c>
      <c r="W9" s="18"/>
      <c r="X9" s="338"/>
      <c r="Y9" s="339"/>
      <c r="Z9" s="339"/>
      <c r="AA9" s="339"/>
      <c r="AB9" s="339"/>
      <c r="AC9" s="340"/>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row>
    <row r="10" spans="1:74" ht="15" customHeight="1" x14ac:dyDescent="0.25">
      <c r="A10" s="18"/>
      <c r="B10" s="326"/>
      <c r="C10" s="326"/>
      <c r="D10" s="326"/>
      <c r="E10" s="333" t="s">
        <v>85</v>
      </c>
      <c r="F10" s="334"/>
      <c r="G10" s="334"/>
      <c r="H10" s="83" t="str">
        <f>IF(AND('Mapa final'!$AD$9="Alta",'Mapa final'!$AF$9="Leve"),CONCATENATE("R1C",'Mapa final'!$S$9),"")</f>
        <v/>
      </c>
      <c r="I10" s="84" t="str">
        <f>IF(AND('Mapa final'!$AD$10="Alta",'Mapa final'!$AF$10="Leve"),CONCATENATE("R1C",'Mapa final'!$S$10),"")</f>
        <v/>
      </c>
      <c r="J10" s="85" t="e">
        <f>IF(AND('Mapa final'!#REF!="Alta",'Mapa final'!#REF!="Leve"),CONCATENATE("R1C",'Mapa final'!$S$11),"")</f>
        <v>#REF!</v>
      </c>
      <c r="K10" s="83" t="str">
        <f>IF(AND('Mapa final'!$AD$9="Alta",'Mapa final'!$AF$9="Menor"),CONCATENATE("R1C",'Mapa final'!$S$9),"")</f>
        <v/>
      </c>
      <c r="L10" s="84" t="str">
        <f>IF(AND('Mapa final'!$AD$10="Alta",'Mapa final'!$AF$10="Menor"),CONCATENATE("R1C",'Mapa final'!$S$10),"")</f>
        <v/>
      </c>
      <c r="M10" s="85" t="e">
        <f>IF(AND('Mapa final'!#REF!="Alta",'Mapa final'!#REF!="Menor"),CONCATENATE("R1C",'Mapa final'!$S$11),"")</f>
        <v>#REF!</v>
      </c>
      <c r="N10" s="14" t="str">
        <f>IF(AND('Mapa final'!$AD$9="Alta",'Mapa final'!$AF$9="Moderado"),CONCATENATE("R1C",'Mapa final'!$S$9),"")</f>
        <v/>
      </c>
      <c r="O10" s="14" t="str">
        <f>IF(AND('Mapa final'!$AD$10="Alta",'Mapa final'!$AF$10="Moderado"),CONCATENATE("R1C",'Mapa final'!$S$10),"")</f>
        <v/>
      </c>
      <c r="P10" s="14" t="e">
        <f>IF(AND('Mapa final'!#REF!="Alta",'Mapa final'!#REF!="Moderado"),CONCATENATE("R1C",'Mapa final'!$S$11),"")</f>
        <v>#REF!</v>
      </c>
      <c r="Q10" s="67" t="str">
        <f>IF(AND('Mapa final'!$AD$9="Alta",'Mapa final'!$AF$9="Mayor"),CONCATENATE("R1C",'Mapa final'!$S$9),"")</f>
        <v/>
      </c>
      <c r="R10" s="68" t="str">
        <f>IF(AND('Mapa final'!$AD$10="Alta",'Mapa final'!$AF$10="Mayor"),CONCATENATE("R1C",'Mapa final'!$S$10),"")</f>
        <v/>
      </c>
      <c r="S10" s="69" t="e">
        <f>IF(AND('Mapa final'!#REF!="Alta",'Mapa final'!#REF!="Mayor"),CONCATENATE("R1C",'Mapa final'!$S$11),"")</f>
        <v>#REF!</v>
      </c>
      <c r="T10" s="75" t="str">
        <f>IF(AND('Mapa final'!$AD$9="Alta",'Mapa final'!$AF$9="Catastrófico"),CONCATENATE("R1C",'Mapa final'!$S$9),"")</f>
        <v/>
      </c>
      <c r="U10" s="76" t="str">
        <f>IF(AND('Mapa final'!$AD$10="Alta",'Mapa final'!$AF$10="Catastrófico"),CONCATENATE("R1C",'Mapa final'!$S$10),"")</f>
        <v/>
      </c>
      <c r="V10" s="77" t="e">
        <f>IF(AND('Mapa final'!#REF!="Alta",'Mapa final'!#REF!="Catastrófico"),CONCATENATE("R1C",'Mapa final'!$S$11),"")</f>
        <v>#REF!</v>
      </c>
      <c r="W10" s="18"/>
      <c r="X10" s="327" t="s">
        <v>67</v>
      </c>
      <c r="Y10" s="328"/>
      <c r="Z10" s="328"/>
      <c r="AA10" s="328"/>
      <c r="AB10" s="328"/>
      <c r="AC10" s="329"/>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1:74" ht="15" customHeight="1" x14ac:dyDescent="0.25">
      <c r="A11" s="18"/>
      <c r="B11" s="326"/>
      <c r="C11" s="326"/>
      <c r="D11" s="326"/>
      <c r="E11" s="333"/>
      <c r="F11" s="334"/>
      <c r="G11" s="334"/>
      <c r="H11" s="86" t="str">
        <f>IF(AND('Mapa final'!$AD$11="Alta",'Mapa final'!$AF$11="Leve"),CONCATENATE("R2C",'Mapa final'!$S$11),"")</f>
        <v/>
      </c>
      <c r="I11" s="16" t="e">
        <f>IF(AND('Mapa final'!#REF!="Alta",'Mapa final'!#REF!="Leve"),CONCATENATE("R2C",'Mapa final'!#REF!),"")</f>
        <v>#REF!</v>
      </c>
      <c r="J11" s="87" t="str">
        <f>IF(AND('Mapa final'!$AD$12="Alta",'Mapa final'!$AF$12="Leve"),CONCATENATE("R2C",'Mapa final'!$S$12),"")</f>
        <v/>
      </c>
      <c r="K11" s="86" t="str">
        <f>IF(AND('Mapa final'!$AD$11="Alta",'Mapa final'!$AF$11="Menor"),CONCATENATE("R2C",'Mapa final'!$S$11),"")</f>
        <v/>
      </c>
      <c r="L11" s="16" t="e">
        <f>IF(AND('Mapa final'!#REF!="Alta",'Mapa final'!#REF!="Menor"),CONCATENATE("R2C",'Mapa final'!#REF!),"")</f>
        <v>#REF!</v>
      </c>
      <c r="M11" s="87" t="str">
        <f>IF(AND('Mapa final'!$AD$12="Alta",'Mapa final'!$AF$12="Menor"),CONCATENATE("R2C",'Mapa final'!$S$12),"")</f>
        <v/>
      </c>
      <c r="N11" s="14" t="str">
        <f>IF(AND('Mapa final'!$AD$11="Alta",'Mapa final'!$AF$11="Moderado"),CONCATENATE("R2C",'Mapa final'!$S$11),"")</f>
        <v/>
      </c>
      <c r="O11" s="14" t="e">
        <f>IF(AND('Mapa final'!#REF!="Alta",'Mapa final'!#REF!="Moderado"),CONCATENATE("R2C",'Mapa final'!#REF!),"")</f>
        <v>#REF!</v>
      </c>
      <c r="P11" s="14" t="str">
        <f>IF(AND('Mapa final'!$AD$12="Alta",'Mapa final'!$AF$12="Moderado"),CONCATENATE("R2C",'Mapa final'!$S$12),"")</f>
        <v/>
      </c>
      <c r="Q11" s="70" t="str">
        <f>IF(AND('Mapa final'!$AD$11="Alta",'Mapa final'!$AF$11="Mayor"),CONCATENATE("R2C",'Mapa final'!$S$11),"")</f>
        <v/>
      </c>
      <c r="R11" s="14" t="e">
        <f>IF(AND('Mapa final'!#REF!="Alta",'Mapa final'!#REF!="Mayor"),CONCATENATE("R2C",'Mapa final'!#REF!),"")</f>
        <v>#REF!</v>
      </c>
      <c r="S11" s="71" t="str">
        <f>IF(AND('Mapa final'!$AD$12="Alta",'Mapa final'!$AF$12="Mayor"),CONCATENATE("R2C",'Mapa final'!$S$12),"")</f>
        <v/>
      </c>
      <c r="T11" s="78" t="str">
        <f>IF(AND('Mapa final'!$AD$11="Alta",'Mapa final'!$AF$11="Catastrófico"),CONCATENATE("R2C",'Mapa final'!$S$11),"")</f>
        <v/>
      </c>
      <c r="U11" s="15" t="e">
        <f>IF(AND('Mapa final'!#REF!="Alta",'Mapa final'!#REF!="Catastrófico"),CONCATENATE("R2C",'Mapa final'!#REF!),"")</f>
        <v>#REF!</v>
      </c>
      <c r="V11" s="79" t="str">
        <f>IF(AND('Mapa final'!$AD$12="Alta",'Mapa final'!$AF$12="Catastrófico"),CONCATENATE("R2C",'Mapa final'!$S$12),"")</f>
        <v/>
      </c>
      <c r="W11" s="18"/>
      <c r="X11" s="330"/>
      <c r="Y11" s="331"/>
      <c r="Z11" s="331"/>
      <c r="AA11" s="331"/>
      <c r="AB11" s="331"/>
      <c r="AC11" s="332"/>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row>
    <row r="12" spans="1:74" ht="15" customHeight="1" x14ac:dyDescent="0.25">
      <c r="A12" s="18"/>
      <c r="B12" s="326"/>
      <c r="C12" s="326"/>
      <c r="D12" s="326"/>
      <c r="E12" s="334"/>
      <c r="F12" s="334"/>
      <c r="G12" s="334"/>
      <c r="H12" s="86" t="str">
        <f>IF(AND('Mapa final'!$AD$12="Alta",'Mapa final'!$AF$12="Leve"),CONCATENATE("R3C",'Mapa final'!$S$12),"")</f>
        <v/>
      </c>
      <c r="I12" s="16" t="str">
        <f>IF(AND('Mapa final'!$AD$13="Alta",'Mapa final'!$AF$13="Leve"),CONCATENATE("R3C",'Mapa final'!$S$13),"")</f>
        <v/>
      </c>
      <c r="J12" s="87" t="str">
        <f>IF(AND('Mapa final'!$AD$14="Alta",'Mapa final'!$AF$14="Leve"),CONCATENATE("R3C",'Mapa final'!$S$14),"")</f>
        <v/>
      </c>
      <c r="K12" s="86" t="str">
        <f>IF(AND('Mapa final'!$AD$12="Alta",'Mapa final'!$AF$12="Menor"),CONCATENATE("R3C",'Mapa final'!$S$12),"")</f>
        <v/>
      </c>
      <c r="L12" s="16" t="str">
        <f>IF(AND('Mapa final'!$AD$13="Alta",'Mapa final'!$AF$13="Menor"),CONCATENATE("R3C",'Mapa final'!$S$13),"")</f>
        <v/>
      </c>
      <c r="M12" s="87" t="str">
        <f>IF(AND('Mapa final'!$AD$14="Alta",'Mapa final'!$AF$14="Menor"),CONCATENATE("R3C",'Mapa final'!$S$14),"")</f>
        <v/>
      </c>
      <c r="N12" s="14" t="str">
        <f>IF(AND('Mapa final'!$AD$12="Alta",'Mapa final'!$AF$12="Moderado"),CONCATENATE("R3C",'Mapa final'!$S$12),"")</f>
        <v/>
      </c>
      <c r="O12" s="14" t="str">
        <f>IF(AND('Mapa final'!$AD$13="Alta",'Mapa final'!$AF$13="Moderado"),CONCATENATE("R3C",'Mapa final'!$S$13),"")</f>
        <v/>
      </c>
      <c r="P12" s="14" t="str">
        <f>IF(AND('Mapa final'!$AD$14="Alta",'Mapa final'!$AF$14="Moderado"),CONCATENATE("R3C",'Mapa final'!$S$14),"")</f>
        <v/>
      </c>
      <c r="Q12" s="70" t="str">
        <f>IF(AND('Mapa final'!$AD$12="Alta",'Mapa final'!$AF$12="Mayor"),CONCATENATE("R3C",'Mapa final'!$S$12),"")</f>
        <v/>
      </c>
      <c r="R12" s="14" t="str">
        <f>IF(AND('Mapa final'!$AD$13="Alta",'Mapa final'!$AF$13="Mayor"),CONCATENATE("R3C",'Mapa final'!$S$13),"")</f>
        <v/>
      </c>
      <c r="S12" s="71" t="str">
        <f>IF(AND('Mapa final'!$AD$14="Alta",'Mapa final'!$AF$14="Mayor"),CONCATENATE("R3C",'Mapa final'!$S$14),"")</f>
        <v/>
      </c>
      <c r="T12" s="78" t="str">
        <f>IF(AND('Mapa final'!$AD$12="Alta",'Mapa final'!$AF$12="Catastrófico"),CONCATENATE("R3C",'Mapa final'!$S$12),"")</f>
        <v/>
      </c>
      <c r="U12" s="15" t="str">
        <f>IF(AND('Mapa final'!$AD$13="Alta",'Mapa final'!$AF$13="Catastrófico"),CONCATENATE("R3C",'Mapa final'!$S$13),"")</f>
        <v/>
      </c>
      <c r="V12" s="79" t="str">
        <f>IF(AND('Mapa final'!$AD$14="Alta",'Mapa final'!$AF$14="Catastrófico"),CONCATENATE("R3C",'Mapa final'!$S$14),"")</f>
        <v/>
      </c>
      <c r="W12" s="18"/>
      <c r="X12" s="330"/>
      <c r="Y12" s="331"/>
      <c r="Z12" s="331"/>
      <c r="AA12" s="331"/>
      <c r="AB12" s="331"/>
      <c r="AC12" s="332"/>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row>
    <row r="13" spans="1:74" ht="15" customHeight="1" thickBot="1" x14ac:dyDescent="0.3">
      <c r="A13" s="18"/>
      <c r="B13" s="326"/>
      <c r="C13" s="326"/>
      <c r="D13" s="326"/>
      <c r="E13" s="334"/>
      <c r="F13" s="334"/>
      <c r="G13" s="334"/>
      <c r="H13" s="88" t="str">
        <f>IF(AND('Mapa final'!$AD$15="Alta",'Mapa final'!$AF$15="Leve"),CONCATENATE("R4C",'Mapa final'!$S$15),"")</f>
        <v/>
      </c>
      <c r="I13" s="89" t="str">
        <f>IF(AND('Mapa final'!$AD$16="Alta",'Mapa final'!$AF$16="Leve"),CONCATENATE("R4C",'Mapa final'!$S$16),"")</f>
        <v/>
      </c>
      <c r="J13" s="90" t="e">
        <f>IF(AND('Mapa final'!#REF!="Alta",'Mapa final'!#REF!="Leve"),CONCATENATE("R4C",'Mapa final'!#REF!),"")</f>
        <v>#REF!</v>
      </c>
      <c r="K13" s="88" t="str">
        <f>IF(AND('Mapa final'!$AD$15="Alta",'Mapa final'!$AF$15="Menor"),CONCATENATE("R4C",'Mapa final'!$S$15),"")</f>
        <v/>
      </c>
      <c r="L13" s="89" t="str">
        <f>IF(AND('Mapa final'!$AD$16="Alta",'Mapa final'!$AF$16="Menor"),CONCATENATE("R4C",'Mapa final'!$S$16),"")</f>
        <v/>
      </c>
      <c r="M13" s="90" t="e">
        <f>IF(AND('Mapa final'!#REF!="Alta",'Mapa final'!#REF!="Menor"),CONCATENATE("R4C",'Mapa final'!#REF!),"")</f>
        <v>#REF!</v>
      </c>
      <c r="N13" s="14" t="str">
        <f>IF(AND('Mapa final'!$AD$15="Alta",'Mapa final'!$AF$15="Moderado"),CONCATENATE("R4C",'Mapa final'!$S$15),"")</f>
        <v/>
      </c>
      <c r="O13" s="14" t="str">
        <f>IF(AND('Mapa final'!$AD$16="Alta",'Mapa final'!$AF$16="Moderado"),CONCATENATE("R4C",'Mapa final'!$S$16),"")</f>
        <v/>
      </c>
      <c r="P13" s="14" t="e">
        <f>IF(AND('Mapa final'!#REF!="Alta",'Mapa final'!#REF!="Moderado"),CONCATENATE("R4C",'Mapa final'!#REF!),"")</f>
        <v>#REF!</v>
      </c>
      <c r="Q13" s="72" t="str">
        <f>IF(AND('Mapa final'!$AD$15="Alta",'Mapa final'!$AF$15="Mayor"),CONCATENATE("R4C",'Mapa final'!$S$15),"")</f>
        <v/>
      </c>
      <c r="R13" s="73" t="str">
        <f>IF(AND('Mapa final'!$AD$16="Alta",'Mapa final'!$AF$16="Mayor"),CONCATENATE("R4C",'Mapa final'!$S$16),"")</f>
        <v/>
      </c>
      <c r="S13" s="74" t="e">
        <f>IF(AND('Mapa final'!#REF!="Alta",'Mapa final'!#REF!="Mayor"),CONCATENATE("R4C",'Mapa final'!#REF!),"")</f>
        <v>#REF!</v>
      </c>
      <c r="T13" s="80" t="str">
        <f>IF(AND('Mapa final'!$AD$15="Alta",'Mapa final'!$AF$15="Catastrófico"),CONCATENATE("R4C",'Mapa final'!$S$15),"")</f>
        <v/>
      </c>
      <c r="U13" s="81" t="str">
        <f>IF(AND('Mapa final'!$AD$16="Alta",'Mapa final'!$AF$16="Catastrófico"),CONCATENATE("R4C",'Mapa final'!$S$16),"")</f>
        <v/>
      </c>
      <c r="V13" s="82" t="e">
        <f>IF(AND('Mapa final'!#REF!="Alta",'Mapa final'!#REF!="Catastrófico"),CONCATENATE("R4C",'Mapa final'!#REF!),"")</f>
        <v>#REF!</v>
      </c>
      <c r="W13" s="18"/>
      <c r="X13" s="330"/>
      <c r="Y13" s="331"/>
      <c r="Z13" s="331"/>
      <c r="AA13" s="331"/>
      <c r="AB13" s="331"/>
      <c r="AC13" s="332"/>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row>
    <row r="14" spans="1:74" ht="15" customHeight="1" x14ac:dyDescent="0.25">
      <c r="A14" s="18"/>
      <c r="B14" s="326"/>
      <c r="C14" s="326"/>
      <c r="D14" s="326"/>
      <c r="E14" s="333" t="s">
        <v>87</v>
      </c>
      <c r="F14" s="334"/>
      <c r="G14" s="334"/>
      <c r="H14" s="83" t="str">
        <f>IF(AND('Mapa final'!$AD$9="Media",'Mapa final'!$AF$9="Leve"),CONCATENATE("R1C",'Mapa final'!$S$9),"")</f>
        <v/>
      </c>
      <c r="I14" s="84" t="str">
        <f>IF(AND('Mapa final'!$AD$10="Media",'Mapa final'!$AF$10="Leve"),CONCATENATE("R1C",'Mapa final'!$S$10),"")</f>
        <v/>
      </c>
      <c r="J14" s="85" t="e">
        <f>IF(AND('Mapa final'!#REF!="Media",'Mapa final'!#REF!="Leve"),CONCATENATE("R1C",'Mapa final'!$S$11),"")</f>
        <v>#REF!</v>
      </c>
      <c r="K14" s="83" t="str">
        <f>IF(AND('Mapa final'!$AD$9="Media",'Mapa final'!$AF$9="Menor"),CONCATENATE("R1C",'Mapa final'!$S$9),"")</f>
        <v/>
      </c>
      <c r="L14" s="84" t="str">
        <f>IF(AND('Mapa final'!$AD$10="Media",'Mapa final'!$AF$10="Menor"),CONCATENATE("R1C",'Mapa final'!$S$10),"")</f>
        <v/>
      </c>
      <c r="M14" s="85" t="e">
        <f>IF(AND('Mapa final'!#REF!="Media",'Mapa final'!#REF!="Menor"),CONCATENATE("R1C",'Mapa final'!$S$11),"")</f>
        <v>#REF!</v>
      </c>
      <c r="N14" s="83" t="str">
        <f>IF(AND('Mapa final'!$AD$9="Media",'Mapa final'!$AF$9="Moderado"),CONCATENATE("R1C",'Mapa final'!$S$9),"")</f>
        <v/>
      </c>
      <c r="O14" s="84" t="str">
        <f>IF(AND('Mapa final'!$AD$10="Media",'Mapa final'!$AF$10="Moderado"),CONCATENATE("R1C",'Mapa final'!$S$10),"")</f>
        <v/>
      </c>
      <c r="P14" s="85" t="e">
        <f>IF(AND('Mapa final'!#REF!="Media",'Mapa final'!#REF!="Moderado"),CONCATENATE("R1C",'Mapa final'!$S$11),"")</f>
        <v>#REF!</v>
      </c>
      <c r="Q14" s="67" t="str">
        <f>IF(AND('Mapa final'!$AD$9="Media",'Mapa final'!$AF$9="Mayor"),CONCATENATE("R1C",'Mapa final'!$S$9),"")</f>
        <v/>
      </c>
      <c r="R14" s="68" t="str">
        <f>IF(AND('Mapa final'!$AD$10="Media",'Mapa final'!$AF$10="Mayor"),CONCATENATE("R1C",'Mapa final'!$S$10),"")</f>
        <v/>
      </c>
      <c r="S14" s="69" t="e">
        <f>IF(AND('Mapa final'!#REF!="Media",'Mapa final'!#REF!="Mayor"),CONCATENATE("R1C",'Mapa final'!$S$11),"")</f>
        <v>#REF!</v>
      </c>
      <c r="T14" s="75" t="str">
        <f>IF(AND('Mapa final'!$AD$9="Media",'Mapa final'!$AF$9="Catastrófico"),CONCATENATE("R1C",'Mapa final'!$S$9),"")</f>
        <v/>
      </c>
      <c r="U14" s="76" t="str">
        <f>IF(AND('Mapa final'!$AD$10="Media",'Mapa final'!$AF$10="Catastrófico"),CONCATENATE("R1C",'Mapa final'!$S$10),"")</f>
        <v/>
      </c>
      <c r="V14" s="77" t="e">
        <f>IF(AND('Mapa final'!#REF!="Media",'Mapa final'!#REF!="Catastrófico"),CONCATENATE("R1C",'Mapa final'!$S$11),"")</f>
        <v>#REF!</v>
      </c>
      <c r="W14" s="18"/>
      <c r="X14" s="349" t="s">
        <v>68</v>
      </c>
      <c r="Y14" s="350"/>
      <c r="Z14" s="350"/>
      <c r="AA14" s="350"/>
      <c r="AB14" s="350"/>
      <c r="AC14" s="351"/>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row>
    <row r="15" spans="1:74" ht="15" customHeight="1" x14ac:dyDescent="0.25">
      <c r="A15" s="18"/>
      <c r="B15" s="326"/>
      <c r="C15" s="326"/>
      <c r="D15" s="326"/>
      <c r="E15" s="333"/>
      <c r="F15" s="334"/>
      <c r="G15" s="334"/>
      <c r="H15" s="86" t="str">
        <f>IF(AND('Mapa final'!$AD$11="Media",'Mapa final'!$AF$11="Leve"),CONCATENATE("R2C",'Mapa final'!$S$11),"")</f>
        <v/>
      </c>
      <c r="I15" s="16" t="e">
        <f>IF(AND('Mapa final'!#REF!="Media",'Mapa final'!#REF!="Leve"),CONCATENATE("R2C",'Mapa final'!#REF!),"")</f>
        <v>#REF!</v>
      </c>
      <c r="J15" s="87" t="str">
        <f>IF(AND('Mapa final'!$AD$12="Media",'Mapa final'!$AF$12="Leve"),CONCATENATE("R2C",'Mapa final'!$S$12),"")</f>
        <v/>
      </c>
      <c r="K15" s="86" t="str">
        <f>IF(AND('Mapa final'!$AD$11="Media",'Mapa final'!$AF$11="Menor"),CONCATENATE("R2C",'Mapa final'!$S$11),"")</f>
        <v/>
      </c>
      <c r="L15" s="16" t="e">
        <f>IF(AND('Mapa final'!#REF!="Media",'Mapa final'!#REF!="Menor"),CONCATENATE("R2C",'Mapa final'!#REF!),"")</f>
        <v>#REF!</v>
      </c>
      <c r="M15" s="87" t="str">
        <f>IF(AND('Mapa final'!$AD$12="Media",'Mapa final'!$AF$12="Menor"),CONCATENATE("R2C",'Mapa final'!$S$12),"")</f>
        <v/>
      </c>
      <c r="N15" s="86" t="str">
        <f>IF(AND('Mapa final'!$AD$11="Media",'Mapa final'!$AF$11="Moderado"),CONCATENATE("R2C",'Mapa final'!$S$11),"")</f>
        <v/>
      </c>
      <c r="O15" s="16" t="e">
        <f>IF(AND('Mapa final'!#REF!="Media",'Mapa final'!#REF!="Moderado"),CONCATENATE("R2C",'Mapa final'!#REF!),"")</f>
        <v>#REF!</v>
      </c>
      <c r="P15" s="87" t="str">
        <f>IF(AND('Mapa final'!$AD$12="Media",'Mapa final'!$AF$12="Moderado"),CONCATENATE("R2C",'Mapa final'!$S$12),"")</f>
        <v/>
      </c>
      <c r="Q15" s="70" t="str">
        <f>IF(AND('Mapa final'!$AD$11="Media",'Mapa final'!$AF$11="Mayor"),CONCATENATE("R2C",'Mapa final'!$S$11),"")</f>
        <v/>
      </c>
      <c r="R15" s="14" t="e">
        <f>IF(AND('Mapa final'!#REF!="Media",'Mapa final'!#REF!="Mayor"),CONCATENATE("R2C",'Mapa final'!#REF!),"")</f>
        <v>#REF!</v>
      </c>
      <c r="S15" s="71" t="str">
        <f>IF(AND('Mapa final'!$AD$12="Media",'Mapa final'!$AF$12="Mayor"),CONCATENATE("R2C",'Mapa final'!$S$12),"")</f>
        <v/>
      </c>
      <c r="T15" s="78" t="str">
        <f>IF(AND('Mapa final'!$AD$11="Media",'Mapa final'!$AF$11="Catastrófico"),CONCATENATE("R2C",'Mapa final'!$S$11),"")</f>
        <v/>
      </c>
      <c r="U15" s="15" t="e">
        <f>IF(AND('Mapa final'!#REF!="Media",'Mapa final'!#REF!="Catastrófico"),CONCATENATE("R2C",'Mapa final'!#REF!),"")</f>
        <v>#REF!</v>
      </c>
      <c r="V15" s="79" t="str">
        <f>IF(AND('Mapa final'!$AD$12="Media",'Mapa final'!$AF$12="Catastrófico"),CONCATENATE("R2C",'Mapa final'!$S$12),"")</f>
        <v/>
      </c>
      <c r="W15" s="18"/>
      <c r="X15" s="352"/>
      <c r="Y15" s="353"/>
      <c r="Z15" s="353"/>
      <c r="AA15" s="353"/>
      <c r="AB15" s="353"/>
      <c r="AC15" s="354"/>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row>
    <row r="16" spans="1:74" ht="15" customHeight="1" x14ac:dyDescent="0.25">
      <c r="A16" s="18"/>
      <c r="B16" s="326"/>
      <c r="C16" s="326"/>
      <c r="D16" s="326"/>
      <c r="E16" s="334"/>
      <c r="F16" s="334"/>
      <c r="G16" s="334"/>
      <c r="H16" s="86" t="str">
        <f>IF(AND('Mapa final'!$AD$12="Media",'Mapa final'!$AF$12="Leve"),CONCATENATE("R3C",'Mapa final'!$S$12),"")</f>
        <v/>
      </c>
      <c r="I16" s="16" t="str">
        <f>IF(AND('Mapa final'!$AD$13="Media",'Mapa final'!$AF$13="Leve"),CONCATENATE("R3C",'Mapa final'!$S$13),"")</f>
        <v/>
      </c>
      <c r="J16" s="87" t="str">
        <f>IF(AND('Mapa final'!$AD$14="Media",'Mapa final'!$AF$14="Leve"),CONCATENATE("R3C",'Mapa final'!$S$14),"")</f>
        <v/>
      </c>
      <c r="K16" s="86" t="str">
        <f>IF(AND('Mapa final'!$AD$12="Media",'Mapa final'!$AF$12="Menor"),CONCATENATE("R3C",'Mapa final'!$S$12),"")</f>
        <v/>
      </c>
      <c r="L16" s="16" t="str">
        <f>IF(AND('Mapa final'!$AD$13="Media",'Mapa final'!$AF$13="Menor"),CONCATENATE("R3C",'Mapa final'!$S$13),"")</f>
        <v/>
      </c>
      <c r="M16" s="87" t="str">
        <f>IF(AND('Mapa final'!$AD$14="Media",'Mapa final'!$AF$14="Menor"),CONCATENATE("R3C",'Mapa final'!$S$14),"")</f>
        <v/>
      </c>
      <c r="N16" s="86" t="str">
        <f>IF(AND('Mapa final'!$AD$12="Media",'Mapa final'!$AF$12="Moderado"),CONCATENATE("R3C",'Mapa final'!$S$12),"")</f>
        <v/>
      </c>
      <c r="O16" s="16" t="str">
        <f>IF(AND('Mapa final'!$AD$13="Media",'Mapa final'!$AF$13="Moderado"),CONCATENATE("R3C",'Mapa final'!$S$13),"")</f>
        <v/>
      </c>
      <c r="P16" s="87" t="str">
        <f>IF(AND('Mapa final'!$AD$14="Media",'Mapa final'!$AF$14="Moderado"),CONCATENATE("R3C",'Mapa final'!$S$14),"")</f>
        <v/>
      </c>
      <c r="Q16" s="70" t="str">
        <f>IF(AND('Mapa final'!$AD$12="Media",'Mapa final'!$AF$12="Mayor"),CONCATENATE("R3C",'Mapa final'!$S$12),"")</f>
        <v/>
      </c>
      <c r="R16" s="14" t="str">
        <f>IF(AND('Mapa final'!$AD$13="Media",'Mapa final'!$AF$13="Mayor"),CONCATENATE("R3C",'Mapa final'!$S$13),"")</f>
        <v/>
      </c>
      <c r="S16" s="71" t="str">
        <f>IF(AND('Mapa final'!$AD$14="Media",'Mapa final'!$AF$14="Mayor"),CONCATENATE("R3C",'Mapa final'!$S$14),"")</f>
        <v/>
      </c>
      <c r="T16" s="78" t="str">
        <f>IF(AND('Mapa final'!$AD$12="Media",'Mapa final'!$AF$12="Catastrófico"),CONCATENATE("R3C",'Mapa final'!$S$12),"")</f>
        <v/>
      </c>
      <c r="U16" s="15" t="str">
        <f>IF(AND('Mapa final'!$AD$13="Media",'Mapa final'!$AF$13="Catastrófico"),CONCATENATE("R3C",'Mapa final'!$S$13),"")</f>
        <v/>
      </c>
      <c r="V16" s="79" t="str">
        <f>IF(AND('Mapa final'!$AD$14="Media",'Mapa final'!$AF$14="Catastrófico"),CONCATENATE("R3C",'Mapa final'!$S$14),"")</f>
        <v/>
      </c>
      <c r="W16" s="18"/>
      <c r="X16" s="352"/>
      <c r="Y16" s="353"/>
      <c r="Z16" s="353"/>
      <c r="AA16" s="353"/>
      <c r="AB16" s="353"/>
      <c r="AC16" s="354"/>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row>
    <row r="17" spans="1:63" ht="15" customHeight="1" thickBot="1" x14ac:dyDescent="0.3">
      <c r="A17" s="18"/>
      <c r="B17" s="326"/>
      <c r="C17" s="326"/>
      <c r="D17" s="326"/>
      <c r="E17" s="334"/>
      <c r="F17" s="334"/>
      <c r="G17" s="334"/>
      <c r="H17" s="88" t="e">
        <f>IF(AND('Mapa final'!#REF!="Media",'Mapa final'!#REF!="Leve"),CONCATENATE("R4C",'Mapa final'!#REF!),"")</f>
        <v>#REF!</v>
      </c>
      <c r="I17" s="89" t="e">
        <f>IF(AND('Mapa final'!#REF!="Media",'Mapa final'!#REF!="Leve"),CONCATENATE("R4C",'Mapa final'!#REF!),"")</f>
        <v>#REF!</v>
      </c>
      <c r="J17" s="90" t="e">
        <f>IF(AND('Mapa final'!#REF!="Media",'Mapa final'!#REF!="Leve"),CONCATENATE("R4C",'Mapa final'!#REF!),"")</f>
        <v>#REF!</v>
      </c>
      <c r="K17" s="88" t="str">
        <f>IF(AND('Mapa final'!$AD$15="Media",'Mapa final'!$AF$15="Menor"),CONCATENATE("R4C",'Mapa final'!$S$15),"")</f>
        <v/>
      </c>
      <c r="L17" s="89" t="str">
        <f>IF(AND('Mapa final'!$AD$16="Media",'Mapa final'!$AF$16="Menor"),CONCATENATE("R4C",'Mapa final'!$S$16),"")</f>
        <v/>
      </c>
      <c r="M17" s="90" t="e">
        <f>IF(AND('Mapa final'!#REF!="Media",'Mapa final'!#REF!="Menor"),CONCATENATE("R4C",'Mapa final'!#REF!),"")</f>
        <v>#REF!</v>
      </c>
      <c r="N17" s="88" t="str">
        <f>IF(AND('Mapa final'!$AD$15="Media",'Mapa final'!$AF$15="Moderado"),CONCATENATE("R4C",'Mapa final'!$S$15),"")</f>
        <v/>
      </c>
      <c r="O17" s="89" t="str">
        <f>IF(AND('Mapa final'!$AD$16="Media",'Mapa final'!$AF$16="Moderado"),CONCATENATE("R4C",'Mapa final'!$S$16),"")</f>
        <v/>
      </c>
      <c r="P17" s="90" t="e">
        <f>IF(AND('Mapa final'!#REF!="Media",'Mapa final'!#REF!="Moderado"),CONCATENATE("R4C",'Mapa final'!#REF!),"")</f>
        <v>#REF!</v>
      </c>
      <c r="Q17" s="72" t="str">
        <f>IF(AND('Mapa final'!$AD$15="Media",'Mapa final'!$AF$15="Mayor"),CONCATENATE("R4C",'Mapa final'!$S$15),"")</f>
        <v/>
      </c>
      <c r="R17" s="73" t="str">
        <f>IF(AND('Mapa final'!$AD$16="Media",'Mapa final'!$AF$16="Mayor"),CONCATENATE("R4C",'Mapa final'!$S$16),"")</f>
        <v/>
      </c>
      <c r="S17" s="74" t="e">
        <f>IF(AND('Mapa final'!#REF!="Media",'Mapa final'!#REF!="Mayor"),CONCATENATE("R4C",'Mapa final'!#REF!),"")</f>
        <v>#REF!</v>
      </c>
      <c r="T17" s="80" t="str">
        <f>IF(AND('Mapa final'!$AD$15="Media",'Mapa final'!$AF$15="Catastrófico"),CONCATENATE("R4C",'Mapa final'!$S$15),"")</f>
        <v/>
      </c>
      <c r="U17" s="81" t="str">
        <f>IF(AND('Mapa final'!$AD$16="Media",'Mapa final'!$AF$16="Catastrófico"),CONCATENATE("R4C",'Mapa final'!$S$16),"")</f>
        <v/>
      </c>
      <c r="V17" s="82" t="e">
        <f>IF(AND('Mapa final'!#REF!="Media",'Mapa final'!#REF!="Catastrófico"),CONCATENATE("R4C",'Mapa final'!#REF!),"")</f>
        <v>#REF!</v>
      </c>
      <c r="W17" s="18"/>
      <c r="X17" s="352"/>
      <c r="Y17" s="353"/>
      <c r="Z17" s="353"/>
      <c r="AA17" s="353"/>
      <c r="AB17" s="353"/>
      <c r="AC17" s="354"/>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row>
    <row r="18" spans="1:63" ht="15" customHeight="1" x14ac:dyDescent="0.25">
      <c r="A18" s="18"/>
      <c r="B18" s="326"/>
      <c r="C18" s="326"/>
      <c r="D18" s="326"/>
      <c r="E18" s="333" t="s">
        <v>84</v>
      </c>
      <c r="F18" s="334"/>
      <c r="G18" s="334"/>
      <c r="H18" s="91" t="str">
        <f>IF(AND('Mapa final'!$AD$9="Baja",'Mapa final'!$AF$9="Leve"),CONCATENATE("R1C",'Mapa final'!$S$9),"")</f>
        <v/>
      </c>
      <c r="I18" s="92" t="str">
        <f>IF(AND('Mapa final'!$AD$10="Baja",'Mapa final'!$AF$10="Leve"),CONCATENATE("R1C",'Mapa final'!$S$10),"")</f>
        <v/>
      </c>
      <c r="J18" s="93" t="e">
        <f>IF(AND('Mapa final'!#REF!="Baja",'Mapa final'!#REF!="Leve"),CONCATENATE("R1C",'Mapa final'!$S$11),"")</f>
        <v>#REF!</v>
      </c>
      <c r="K18" s="83" t="str">
        <f>IF(AND('Mapa final'!$AD$9="Baja",'Mapa final'!$AF$9="Menor"),CONCATENATE("R1C",'Mapa final'!$S$9),"")</f>
        <v/>
      </c>
      <c r="L18" s="84" t="str">
        <f>IF(AND('Mapa final'!$AD$10="Baja",'Mapa final'!$AF$10="Menor"),CONCATENATE("R1C",'Mapa final'!$S$10),"")</f>
        <v/>
      </c>
      <c r="M18" s="85" t="e">
        <f>IF(AND('Mapa final'!#REF!="Baja",'Mapa final'!#REF!="Menor"),CONCATENATE("R1C",'Mapa final'!$S$11),"")</f>
        <v>#REF!</v>
      </c>
      <c r="N18" s="83" t="str">
        <f>IF(AND('Mapa final'!$AD$9="Baja",'Mapa final'!$AF$9="Moderado"),CONCATENATE("R1C",'Mapa final'!$S$9),"")</f>
        <v/>
      </c>
      <c r="O18" s="84" t="str">
        <f>IF(AND('Mapa final'!$AD$10="Baja",'Mapa final'!$AF$10="Moderado"),CONCATENATE("R1C",'Mapa final'!$S$10),"")</f>
        <v/>
      </c>
      <c r="P18" s="85" t="e">
        <f>IF(AND('Mapa final'!#REF!="Baja",'Mapa final'!#REF!="Moderado"),CONCATENATE("R1C",'Mapa final'!$S$11),"")</f>
        <v>#REF!</v>
      </c>
      <c r="Q18" s="67" t="str">
        <f>IF(AND('Mapa final'!$AD$9="Baja",'Mapa final'!$AF$9="Mayor"),CONCATENATE("R1C",'Mapa final'!$S$9),"")</f>
        <v>R1C1</v>
      </c>
      <c r="R18" s="68" t="str">
        <f>IF(AND('Mapa final'!$AD$10="Baja",'Mapa final'!$AF$10="Mayor"),CONCATENATE("R1C",'Mapa final'!$S$10),"")</f>
        <v/>
      </c>
      <c r="S18" s="69" t="e">
        <f>IF(AND('Mapa final'!#REF!="Baja",'Mapa final'!#REF!="Mayor"),CONCATENATE("R1C",'Mapa final'!$S$11),"")</f>
        <v>#REF!</v>
      </c>
      <c r="T18" s="75" t="str">
        <f>IF(AND('Mapa final'!$AD$9="Baja",'Mapa final'!$AF$9="Catastrófico"),CONCATENATE("R1C",'Mapa final'!$S$9),"")</f>
        <v/>
      </c>
      <c r="U18" s="76" t="str">
        <f>IF(AND('Mapa final'!$AD$10="Baja",'Mapa final'!$AF$10="Catastrófico"),CONCATENATE("R1C",'Mapa final'!$S$10),"")</f>
        <v/>
      </c>
      <c r="V18" s="77" t="e">
        <f>IF(AND('Mapa final'!#REF!="Baja",'Mapa final'!#REF!="Catastrófico"),CONCATENATE("R1C",'Mapa final'!$S$11),"")</f>
        <v>#REF!</v>
      </c>
      <c r="W18" s="18"/>
      <c r="X18" s="343" t="s">
        <v>69</v>
      </c>
      <c r="Y18" s="344"/>
      <c r="Z18" s="344"/>
      <c r="AA18" s="344"/>
      <c r="AB18" s="344"/>
      <c r="AC18" s="345"/>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row>
    <row r="19" spans="1:63" ht="15" customHeight="1" x14ac:dyDescent="0.25">
      <c r="A19" s="18"/>
      <c r="B19" s="326"/>
      <c r="C19" s="326"/>
      <c r="D19" s="326"/>
      <c r="E19" s="333"/>
      <c r="F19" s="334"/>
      <c r="G19" s="334"/>
      <c r="H19" s="94" t="str">
        <f>IF(AND('Mapa final'!$AD$11="Baja",'Mapa final'!$AF$11="Leve"),CONCATENATE("R2C",'Mapa final'!$S$11),"")</f>
        <v/>
      </c>
      <c r="I19" s="17" t="e">
        <f>IF(AND('Mapa final'!#REF!="Baja",'Mapa final'!#REF!="Leve"),CONCATENATE("R2C",'Mapa final'!#REF!),"")</f>
        <v>#REF!</v>
      </c>
      <c r="J19" s="95" t="str">
        <f>IF(AND('Mapa final'!$AD$12="Baja",'Mapa final'!$AF$12="Leve"),CONCATENATE("R2C",'Mapa final'!$S$12),"")</f>
        <v/>
      </c>
      <c r="K19" s="86" t="str">
        <f>IF(AND('Mapa final'!$AD$11="Baja",'Mapa final'!$AF$11="Menor"),CONCATENATE("R2C",'Mapa final'!$S$11),"")</f>
        <v/>
      </c>
      <c r="L19" s="16" t="e">
        <f>IF(AND('Mapa final'!#REF!="Baja",'Mapa final'!#REF!="Menor"),CONCATENATE("R2C",'Mapa final'!#REF!),"")</f>
        <v>#REF!</v>
      </c>
      <c r="M19" s="87" t="str">
        <f>IF(AND('Mapa final'!$AD$12="Baja",'Mapa final'!$AF$12="Menor"),CONCATENATE("R2C",'Mapa final'!$S$12),"")</f>
        <v/>
      </c>
      <c r="N19" s="86" t="str">
        <f>IF(AND('Mapa final'!$AD$11="Baja",'Mapa final'!$AF$11="Moderado"),CONCATENATE("R2C",'Mapa final'!$S$11),"")</f>
        <v/>
      </c>
      <c r="O19" s="16" t="e">
        <f>IF(AND('Mapa final'!#REF!="Baja",'Mapa final'!#REF!="Moderado"),CONCATENATE("R2C",'Mapa final'!#REF!),"")</f>
        <v>#REF!</v>
      </c>
      <c r="P19" s="87" t="str">
        <f>IF(AND('Mapa final'!$AD$12="Baja",'Mapa final'!$AF$12="Moderado"),CONCATENATE("R2C",'Mapa final'!$S$12),"")</f>
        <v/>
      </c>
      <c r="Q19" s="70" t="str">
        <f>IF(AND('Mapa final'!$AD$11="Baja",'Mapa final'!$AF$11="Mayor"),CONCATENATE("R2C",'Mapa final'!$S$11),"")</f>
        <v>R2C1</v>
      </c>
      <c r="R19" s="14" t="e">
        <f>IF(AND('Mapa final'!#REF!="Baja",'Mapa final'!#REF!="Mayor"),CONCATENATE("R2C",'Mapa final'!#REF!),"")</f>
        <v>#REF!</v>
      </c>
      <c r="S19" s="71" t="str">
        <f>IF(AND('Mapa final'!$AD$12="Baja",'Mapa final'!$AF$12="Mayor"),CONCATENATE("R2C",'Mapa final'!$S$12),"")</f>
        <v/>
      </c>
      <c r="T19" s="78" t="str">
        <f>IF(AND('Mapa final'!$AD$11="Baja",'Mapa final'!$AF$11="Catastrófico"),CONCATENATE("R2C",'Mapa final'!$S$11),"")</f>
        <v/>
      </c>
      <c r="U19" s="15" t="e">
        <f>IF(AND('Mapa final'!#REF!="Baja",'Mapa final'!#REF!="Catastrófico"),CONCATENATE("R2C",'Mapa final'!#REF!),"")</f>
        <v>#REF!</v>
      </c>
      <c r="V19" s="79" t="str">
        <f>IF(AND('Mapa final'!$AD$12="Baja",'Mapa final'!$AF$12="Catastrófico"),CONCATENATE("R2C",'Mapa final'!$S$12),"")</f>
        <v/>
      </c>
      <c r="W19" s="18"/>
      <c r="X19" s="346"/>
      <c r="Y19" s="347"/>
      <c r="Z19" s="347"/>
      <c r="AA19" s="347"/>
      <c r="AB19" s="347"/>
      <c r="AC19" s="34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row>
    <row r="20" spans="1:63" ht="15" customHeight="1" x14ac:dyDescent="0.25">
      <c r="A20" s="18"/>
      <c r="B20" s="326"/>
      <c r="C20" s="326"/>
      <c r="D20" s="326"/>
      <c r="E20" s="334"/>
      <c r="F20" s="334"/>
      <c r="G20" s="334"/>
      <c r="H20" s="94" t="str">
        <f>IF(AND('Mapa final'!$AD$12="Baja",'Mapa final'!$AF$12="Leve"),CONCATENATE("R3C",'Mapa final'!$S$12),"")</f>
        <v/>
      </c>
      <c r="I20" s="17" t="str">
        <f>IF(AND('Mapa final'!$AD$13="Baja",'Mapa final'!$AF$13="Leve"),CONCATENATE("R3C",'Mapa final'!$S$13),"")</f>
        <v/>
      </c>
      <c r="J20" s="95" t="str">
        <f>IF(AND('Mapa final'!$AD$14="Baja",'Mapa final'!$AF$14="Leve"),CONCATENATE("R3C",'Mapa final'!$S$14),"")</f>
        <v/>
      </c>
      <c r="K20" s="86" t="str">
        <f>IF(AND('Mapa final'!$AD$12="Baja",'Mapa final'!$AF$12="Menor"),CONCATENATE("R3C",'Mapa final'!$S$12),"")</f>
        <v/>
      </c>
      <c r="L20" s="16" t="str">
        <f>IF(AND('Mapa final'!$AD$13="Baja",'Mapa final'!$AF$13="Menor"),CONCATENATE("R3C",'Mapa final'!$S$13),"")</f>
        <v/>
      </c>
      <c r="M20" s="87" t="str">
        <f>IF(AND('Mapa final'!$AD$14="Baja",'Mapa final'!$AF$14="Menor"),CONCATENATE("R3C",'Mapa final'!$S$14),"")</f>
        <v/>
      </c>
      <c r="N20" s="86" t="str">
        <f>IF(AND('Mapa final'!$AD$12="Baja",'Mapa final'!$AF$12="Moderado"),CONCATENATE("R3C",'Mapa final'!$S$12),"")</f>
        <v/>
      </c>
      <c r="O20" s="16" t="str">
        <f>IF(AND('Mapa final'!$AD$13="Baja",'Mapa final'!$AF$13="Moderado"),CONCATENATE("R3C",'Mapa final'!$S$13),"")</f>
        <v/>
      </c>
      <c r="P20" s="87" t="str">
        <f>IF(AND('Mapa final'!$AD$14="Baja",'Mapa final'!$AF$14="Moderado"),CONCATENATE("R3C",'Mapa final'!$S$14),"")</f>
        <v/>
      </c>
      <c r="Q20" s="70" t="str">
        <f>IF(AND('Mapa final'!$AD$12="Baja",'Mapa final'!$AF$12="Mayor"),CONCATENATE("R3C",'Mapa final'!$S$12),"")</f>
        <v/>
      </c>
      <c r="R20" s="14" t="str">
        <f>IF(AND('Mapa final'!$AD$13="Baja",'Mapa final'!$AF$13="Mayor"),CONCATENATE("R3C",'Mapa final'!$S$13),"")</f>
        <v/>
      </c>
      <c r="S20" s="71" t="str">
        <f>IF(AND('Mapa final'!$AD$14="Baja",'Mapa final'!$AF$14="Mayor"),CONCATENATE("R3C",'Mapa final'!$S$14),"")</f>
        <v/>
      </c>
      <c r="T20" s="78" t="str">
        <f>IF(AND('Mapa final'!$AD$12="Baja",'Mapa final'!$AF$12="Catastrófico"),CONCATENATE("R3C",'Mapa final'!$S$12),"")</f>
        <v/>
      </c>
      <c r="U20" s="15" t="str">
        <f>IF(AND('Mapa final'!$AD$13="Baja",'Mapa final'!$AF$13="Catastrófico"),CONCATENATE("R3C",'Mapa final'!$S$13),"")</f>
        <v/>
      </c>
      <c r="V20" s="79" t="str">
        <f>IF(AND('Mapa final'!$AD$14="Baja",'Mapa final'!$AF$14="Catastrófico"),CONCATENATE("R3C",'Mapa final'!$S$14),"")</f>
        <v/>
      </c>
      <c r="W20" s="18"/>
      <c r="X20" s="346"/>
      <c r="Y20" s="347"/>
      <c r="Z20" s="347"/>
      <c r="AA20" s="347"/>
      <c r="AB20" s="347"/>
      <c r="AC20" s="34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row>
    <row r="21" spans="1:63" ht="15" customHeight="1" x14ac:dyDescent="0.25">
      <c r="A21" s="18"/>
      <c r="B21" s="326"/>
      <c r="C21" s="326"/>
      <c r="D21" s="326"/>
      <c r="E21" s="334"/>
      <c r="F21" s="334"/>
      <c r="G21" s="334"/>
      <c r="H21" s="96" t="e">
        <f>IF(AND('Mapa final'!#REF!="Baja",'Mapa final'!#REF!="Leve"),CONCATENATE("R4C",'Mapa final'!#REF!),"")</f>
        <v>#REF!</v>
      </c>
      <c r="I21" s="97" t="e">
        <f>IF(AND('Mapa final'!#REF!="Baja",'Mapa final'!#REF!="Leve"),CONCATENATE("R4C",'Mapa final'!#REF!),"")</f>
        <v>#REF!</v>
      </c>
      <c r="J21" s="98" t="e">
        <f>IF(AND('Mapa final'!#REF!="Baja",'Mapa final'!#REF!="Leve"),CONCATENATE("R4C",'Mapa final'!#REF!),"")</f>
        <v>#REF!</v>
      </c>
      <c r="K21" s="88" t="e">
        <f>IF(AND('Mapa final'!#REF!="Baja",'Mapa final'!#REF!="Menor"),CONCATENATE("R4C",'Mapa final'!#REF!),"")</f>
        <v>#REF!</v>
      </c>
      <c r="L21" s="89" t="e">
        <f>IF(AND('Mapa final'!#REF!="Baja",'Mapa final'!#REF!="Menor"),CONCATENATE("R4C",'Mapa final'!#REF!),"")</f>
        <v>#REF!</v>
      </c>
      <c r="M21" s="90" t="e">
        <f>IF(AND('Mapa final'!#REF!="Baja",'Mapa final'!#REF!="Menor"),CONCATENATE("R4C",'Mapa final'!#REF!),"")</f>
        <v>#REF!</v>
      </c>
      <c r="N21" s="88" t="str">
        <f>IF(AND('Mapa final'!$AD$15="Baja",'Mapa final'!$AF$15="Moderado"),CONCATENATE("R4C",'Mapa final'!$S$15),"")</f>
        <v/>
      </c>
      <c r="O21" s="89" t="str">
        <f>IF(AND('Mapa final'!$AD$16="Baja",'Mapa final'!$AF$16="Moderado"),CONCATENATE("R4C",'Mapa final'!$S$16),"")</f>
        <v/>
      </c>
      <c r="P21" s="90" t="e">
        <f>IF(AND('Mapa final'!#REF!="Baja",'Mapa final'!#REF!="Moderado"),CONCATENATE("R4C",'Mapa final'!#REF!),"")</f>
        <v>#REF!</v>
      </c>
      <c r="Q21" s="72" t="str">
        <f>IF(AND('Mapa final'!$AD$15="Baja",'Mapa final'!$AF$15="Mayor"),CONCATENATE("R4C",'Mapa final'!$S$15),"")</f>
        <v/>
      </c>
      <c r="R21" s="73" t="str">
        <f>IF(AND('Mapa final'!$AD$16="Baja",'Mapa final'!$AF$16="Mayor"),CONCATENATE("R4C",'Mapa final'!$S$16),"")</f>
        <v/>
      </c>
      <c r="S21" s="74" t="e">
        <f>IF(AND('Mapa final'!#REF!="Baja",'Mapa final'!#REF!="Mayor"),CONCATENATE("R4C",'Mapa final'!#REF!),"")</f>
        <v>#REF!</v>
      </c>
      <c r="T21" s="80" t="str">
        <f>IF(AND('Mapa final'!$AD$15="Baja",'Mapa final'!$AF$15="Catastrófico"),CONCATENATE("R4C",'Mapa final'!$S$15),"")</f>
        <v>R4C1</v>
      </c>
      <c r="U21" s="81" t="str">
        <f>IF(AND('Mapa final'!$AD$16="Baja",'Mapa final'!$AF$16="Catastrófico"),CONCATENATE("R4C",'Mapa final'!$S$16),"")</f>
        <v>R4C2</v>
      </c>
      <c r="V21" s="82" t="e">
        <f>IF(AND('Mapa final'!#REF!="Baja",'Mapa final'!#REF!="Catastrófico"),CONCATENATE("R4C",'Mapa final'!#REF!),"")</f>
        <v>#REF!</v>
      </c>
      <c r="W21" s="18"/>
      <c r="X21" s="346"/>
      <c r="Y21" s="347"/>
      <c r="Z21" s="347"/>
      <c r="AA21" s="347"/>
      <c r="AB21" s="347"/>
      <c r="AC21" s="34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row>
    <row r="22" spans="1:63" ht="20.25" customHeight="1" x14ac:dyDescent="0.35">
      <c r="A22" s="18"/>
      <c r="B22" s="326"/>
      <c r="C22" s="326"/>
      <c r="D22" s="326"/>
      <c r="E22" s="333" t="s">
        <v>83</v>
      </c>
      <c r="F22" s="334"/>
      <c r="G22" s="334"/>
      <c r="H22" s="91" t="str">
        <f>IF(AND('Mapa final'!$AD$9="Muy Baja",'Mapa final'!$AF$9="Leve"),CONCATENATE("R1C",'Mapa final'!$S$9),"")</f>
        <v/>
      </c>
      <c r="I22" s="92" t="str">
        <f>IF(AND('Mapa final'!$AD$10="Muy Baja",'Mapa final'!$AF$10="Leve"),CONCATENATE("R1C",'Mapa final'!$S$10),"")</f>
        <v/>
      </c>
      <c r="J22" s="93" t="e">
        <f>IF(AND('Mapa final'!#REF!="Muy Baja",'Mapa final'!#REF!="Leve"),CONCATENATE("R1C",'Mapa final'!$S$11),"")</f>
        <v>#REF!</v>
      </c>
      <c r="K22" s="91" t="str">
        <f>IF(AND('Mapa final'!$AD$9="Muy Baja",'Mapa final'!$AF$9="Menor"),CONCATENATE("R1C",'Mapa final'!$S$9),"")</f>
        <v/>
      </c>
      <c r="L22" s="92" t="str">
        <f>IF(AND('Mapa final'!$AD$10="Muy Baja",'Mapa final'!$AF$10="Menor"),CONCATENATE("R1C",'Mapa final'!$S$10),"")</f>
        <v/>
      </c>
      <c r="M22" s="93" t="e">
        <f>IF(AND('Mapa final'!#REF!="Muy Baja",'Mapa final'!#REF!="Menor"),CONCATENATE("R1C",'Mapa final'!$S$11),"")</f>
        <v>#REF!</v>
      </c>
      <c r="N22" s="83" t="str">
        <f>IF(AND('Mapa final'!$AD$9="Muy Baja",'Mapa final'!$AF$9="Moderado"),CONCATENATE("R1C",'Mapa final'!$S$9),"")</f>
        <v/>
      </c>
      <c r="O22" s="99" t="str">
        <f>IF(AND('Mapa final'!$AD$10="Muy Baja",'Mapa final'!$AF$10="Moderado"),CONCATENATE("R1C",'Mapa final'!$S$10),"")</f>
        <v/>
      </c>
      <c r="P22" s="85" t="e">
        <f>IF(AND('Mapa final'!#REF!="Muy Baja",'Mapa final'!#REF!="Moderado"),CONCATENATE("R1C",'Mapa final'!$S$11),"")</f>
        <v>#REF!</v>
      </c>
      <c r="Q22" s="14" t="str">
        <f>IF(AND('Mapa final'!$AD$9="Muy Baja",'Mapa final'!$AF$9="Mayor"),CONCATENATE("R1C",'Mapa final'!$S$9),"")</f>
        <v/>
      </c>
      <c r="R22" s="14" t="str">
        <f>IF(AND('Mapa final'!$AD$10="Muy Baja",'Mapa final'!$AF$10="Mayor"),CONCATENATE("R1C",'Mapa final'!$S$10),"")</f>
        <v>R1C2</v>
      </c>
      <c r="S22" s="14" t="e">
        <f>IF(AND('Mapa final'!#REF!="Muy Baja",'Mapa final'!#REF!="Mayor"),CONCATENATE("R1C",'Mapa final'!$S$11),"")</f>
        <v>#REF!</v>
      </c>
      <c r="T22" s="75" t="str">
        <f>IF(AND('Mapa final'!$AD$9="Muy Baja",'Mapa final'!$AF$9="Catastrófico"),CONCATENATE("R1C",'Mapa final'!$S$9),"")</f>
        <v/>
      </c>
      <c r="U22" s="76" t="str">
        <f>IF(AND('Mapa final'!$AD$10="Muy Baja",'Mapa final'!$AF$10="Catastrófico"),CONCATENATE("R1C",'Mapa final'!$S$10),"")</f>
        <v/>
      </c>
      <c r="V22" s="77" t="e">
        <f>IF(AND('Mapa final'!#REF!="Muy Baja",'Mapa final'!#REF!="Catastrófico"),CONCATENATE("R1C",'Mapa final'!$S$11),"")</f>
        <v>#REF!</v>
      </c>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row>
    <row r="23" spans="1:63" ht="16.5" customHeight="1" x14ac:dyDescent="0.25">
      <c r="A23" s="18"/>
      <c r="B23" s="326"/>
      <c r="C23" s="326"/>
      <c r="D23" s="326"/>
      <c r="E23" s="333"/>
      <c r="F23" s="334"/>
      <c r="G23" s="334"/>
      <c r="H23" s="94" t="str">
        <f>IF(AND('Mapa final'!$AD$11="Muy Baja",'Mapa final'!$AF$11="Leve"),CONCATENATE("R2C",'Mapa final'!$S$11),"")</f>
        <v/>
      </c>
      <c r="I23" s="17" t="e">
        <f>IF(AND('Mapa final'!#REF!="Muy Baja",'Mapa final'!#REF!="Leve"),CONCATENATE("R2C",'Mapa final'!#REF!),"")</f>
        <v>#REF!</v>
      </c>
      <c r="J23" s="95" t="str">
        <f>IF(AND('Mapa final'!$AD$12="Muy Baja",'Mapa final'!$AF$12="Leve"),CONCATENATE("R2C",'Mapa final'!$S$12),"")</f>
        <v/>
      </c>
      <c r="K23" s="94" t="str">
        <f>IF(AND('Mapa final'!$AD$11="Muy Baja",'Mapa final'!$AF$11="Menor"),CONCATENATE("R2C",'Mapa final'!$S$11),"")</f>
        <v/>
      </c>
      <c r="L23" s="17" t="e">
        <f>IF(AND('Mapa final'!#REF!="Muy Baja",'Mapa final'!#REF!="Menor"),CONCATENATE("R2C",'Mapa final'!#REF!),"")</f>
        <v>#REF!</v>
      </c>
      <c r="M23" s="95" t="str">
        <f>IF(AND('Mapa final'!$AD$12="Muy Baja",'Mapa final'!$AF$12="Menor"),CONCATENATE("R2C",'Mapa final'!$S$12),"")</f>
        <v/>
      </c>
      <c r="N23" s="86" t="str">
        <f>IF(AND('Mapa final'!$AD$11="Muy Baja",'Mapa final'!$AF$11="Moderado"),CONCATENATE("R2C",'Mapa final'!$S$11),"")</f>
        <v/>
      </c>
      <c r="O23" s="16" t="e">
        <f>IF(AND('Mapa final'!#REF!="Muy Baja",'Mapa final'!#REF!="Moderado"),CONCATENATE("R2C",'Mapa final'!#REF!),"")</f>
        <v>#REF!</v>
      </c>
      <c r="P23" s="87" t="str">
        <f>IF(AND('Mapa final'!$AD$12="Muy Baja",'Mapa final'!$AF$12="Moderado"),CONCATENATE("R2C",'Mapa final'!$S$12),"")</f>
        <v/>
      </c>
      <c r="Q23" s="14" t="str">
        <f>IF(AND('Mapa final'!$AD$11="Muy Baja",'Mapa final'!$AF$11="Mayor"),CONCATENATE("R2C",'Mapa final'!$S$11),"")</f>
        <v/>
      </c>
      <c r="R23" s="14" t="e">
        <f>IF(AND('Mapa final'!#REF!="Muy Baja",'Mapa final'!#REF!="Mayor"),CONCATENATE("R2C",'Mapa final'!#REF!),"")</f>
        <v>#REF!</v>
      </c>
      <c r="S23" s="14" t="str">
        <f>IF(AND('Mapa final'!$AD$12="Muy Baja",'Mapa final'!$AF$12="Mayor"),CONCATENATE("R2C",'Mapa final'!$S$12),"")</f>
        <v>R2C1</v>
      </c>
      <c r="T23" s="78" t="str">
        <f>IF(AND('Mapa final'!$AD$11="Muy Baja",'Mapa final'!$AF$11="Catastrófico"),CONCATENATE("R2C",'Mapa final'!$S$11),"")</f>
        <v/>
      </c>
      <c r="U23" s="15" t="e">
        <f>IF(AND('Mapa final'!#REF!="Muy Baja",'Mapa final'!#REF!="Catastrófico"),CONCATENATE("R2C",'Mapa final'!#REF!),"")</f>
        <v>#REF!</v>
      </c>
      <c r="V23" s="79" t="str">
        <f>IF(AND('Mapa final'!$AD$12="Muy Baja",'Mapa final'!$AF$12="Catastrófico"),CONCATENATE("R2C",'Mapa final'!$S$12),"")</f>
        <v/>
      </c>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row>
    <row r="24" spans="1:63" ht="15" customHeight="1" x14ac:dyDescent="0.25">
      <c r="A24" s="18"/>
      <c r="B24" s="326"/>
      <c r="C24" s="326"/>
      <c r="D24" s="326"/>
      <c r="E24" s="333"/>
      <c r="F24" s="334"/>
      <c r="G24" s="334"/>
      <c r="H24" s="94" t="str">
        <f>IF(AND('Mapa final'!$AD$12="Muy Baja",'Mapa final'!$AF$12="Leve"),CONCATENATE("R3C",'Mapa final'!$S$12),"")</f>
        <v/>
      </c>
      <c r="I24" s="17" t="str">
        <f>IF(AND('Mapa final'!$AD$13="Muy Baja",'Mapa final'!$AF$13="Leve"),CONCATENATE("R3C",'Mapa final'!$S$13),"")</f>
        <v/>
      </c>
      <c r="J24" s="95" t="str">
        <f>IF(AND('Mapa final'!$AD$14="Muy Baja",'Mapa final'!$AF$14="Leve"),CONCATENATE("R3C",'Mapa final'!$S$14),"")</f>
        <v/>
      </c>
      <c r="K24" s="94" t="str">
        <f>IF(AND('Mapa final'!$AD$12="Muy Baja",'Mapa final'!$AF$12="Menor"),CONCATENATE("R3C",'Mapa final'!$S$12),"")</f>
        <v/>
      </c>
      <c r="L24" s="17" t="str">
        <f>IF(AND('Mapa final'!$AD$13="Muy Baja",'Mapa final'!$AF$13="Menor"),CONCATENATE("R3C",'Mapa final'!$S$13),"")</f>
        <v/>
      </c>
      <c r="M24" s="95" t="str">
        <f>IF(AND('Mapa final'!$AD$14="Muy Baja",'Mapa final'!$AF$14="Menor"),CONCATENATE("R3C",'Mapa final'!$S$14),"")</f>
        <v/>
      </c>
      <c r="N24" s="86" t="str">
        <f>IF(AND('Mapa final'!$AD$12="Muy Baja",'Mapa final'!$AF$12="Moderado"),CONCATENATE("R3C",'Mapa final'!$S$12),"")</f>
        <v/>
      </c>
      <c r="O24" s="16" t="str">
        <f>IF(AND('Mapa final'!$AD$13="Muy Baja",'Mapa final'!$AF$13="Moderado"),CONCATENATE("R3C",'Mapa final'!$S$13),"")</f>
        <v/>
      </c>
      <c r="P24" s="87" t="str">
        <f>IF(AND('Mapa final'!$AD$14="Muy Baja",'Mapa final'!$AF$14="Moderado"),CONCATENATE("R3C",'Mapa final'!$S$14),"")</f>
        <v/>
      </c>
      <c r="Q24" s="14" t="str">
        <f>IF(AND('Mapa final'!$AD$12="Muy Baja",'Mapa final'!$AF$12="Mayor"),CONCATENATE("R3C",'Mapa final'!$S$12),"")</f>
        <v>R3C1</v>
      </c>
      <c r="R24" s="14" t="str">
        <f>IF(AND('Mapa final'!$AD$13="Muy Baja",'Mapa final'!$AF$13="Mayor"),CONCATENATE("R3C",'Mapa final'!$S$13),"")</f>
        <v>R3C2</v>
      </c>
      <c r="S24" s="14" t="str">
        <f>IF(AND('Mapa final'!$AD$14="Muy Baja",'Mapa final'!$AF$14="Mayor"),CONCATENATE("R3C",'Mapa final'!$S$14),"")</f>
        <v>R3C3</v>
      </c>
      <c r="T24" s="78" t="str">
        <f>IF(AND('Mapa final'!$AD$12="Muy Baja",'Mapa final'!$AF$12="Catastrófico"),CONCATENATE("R3C",'Mapa final'!$S$12),"")</f>
        <v/>
      </c>
      <c r="U24" s="15" t="str">
        <f>IF(AND('Mapa final'!$AD$13="Muy Baja",'Mapa final'!$AF$13="Catastrófico"),CONCATENATE("R3C",'Mapa final'!$S$13),"")</f>
        <v/>
      </c>
      <c r="V24" s="79" t="str">
        <f>IF(AND('Mapa final'!$AD$14="Muy Baja",'Mapa final'!$AF$14="Catastrófico"),CONCATENATE("R3C",'Mapa final'!$S$14),"")</f>
        <v/>
      </c>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row>
    <row r="25" spans="1:63" ht="15" customHeight="1" x14ac:dyDescent="0.25">
      <c r="A25" s="18"/>
      <c r="B25" s="326"/>
      <c r="C25" s="326"/>
      <c r="D25" s="326"/>
      <c r="E25" s="334"/>
      <c r="F25" s="334"/>
      <c r="G25" s="334"/>
      <c r="H25" s="96" t="e">
        <f>IF(AND('Mapa final'!#REF!="Muy Baja",'Mapa final'!#REF!="Leve"),CONCATENATE("R4C",'Mapa final'!#REF!),"")</f>
        <v>#REF!</v>
      </c>
      <c r="I25" s="97" t="e">
        <f>IF(AND('Mapa final'!#REF!="Muy Baja",'Mapa final'!#REF!="Leve"),CONCATENATE("R4C",'Mapa final'!#REF!),"")</f>
        <v>#REF!</v>
      </c>
      <c r="J25" s="98" t="e">
        <f>IF(AND('Mapa final'!#REF!="Muy Baja",'Mapa final'!#REF!="Leve"),CONCATENATE("R4C",'Mapa final'!#REF!),"")</f>
        <v>#REF!</v>
      </c>
      <c r="K25" s="96" t="e">
        <f>IF(AND('Mapa final'!#REF!="Muy Baja",'Mapa final'!#REF!="Menor"),CONCATENATE("R4C",'Mapa final'!#REF!),"")</f>
        <v>#REF!</v>
      </c>
      <c r="L25" s="97" t="e">
        <f>IF(AND('Mapa final'!#REF!="Muy Baja",'Mapa final'!#REF!="Menor"),CONCATENATE("R4C",'Mapa final'!#REF!),"")</f>
        <v>#REF!</v>
      </c>
      <c r="M25" s="98" t="e">
        <f>IF(AND('Mapa final'!#REF!="Muy Baja",'Mapa final'!#REF!="Menor"),CONCATENATE("R4C",'Mapa final'!#REF!),"")</f>
        <v>#REF!</v>
      </c>
      <c r="N25" s="88" t="e">
        <f>IF(AND('Mapa final'!#REF!="Muy Baja",'Mapa final'!#REF!="Moderado"),CONCATENATE("R4C",'Mapa final'!#REF!),"")</f>
        <v>#REF!</v>
      </c>
      <c r="O25" s="89" t="e">
        <f>IF(AND('Mapa final'!#REF!="Muy Baja",'Mapa final'!#REF!="Moderado"),CONCATENATE("R4C",'Mapa final'!#REF!),"")</f>
        <v>#REF!</v>
      </c>
      <c r="P25" s="90" t="e">
        <f>IF(AND('Mapa final'!#REF!="Muy Baja",'Mapa final'!#REF!="Moderado"),CONCATENATE("R4C",'Mapa final'!#REF!),"")</f>
        <v>#REF!</v>
      </c>
      <c r="Q25" s="14" t="e">
        <f>IF(AND('Mapa final'!#REF!="Muy Baja",'Mapa final'!#REF!="Mayor"),CONCATENATE("R4C",'Mapa final'!#REF!),"")</f>
        <v>#REF!</v>
      </c>
      <c r="R25" s="14" t="e">
        <f>IF(AND('Mapa final'!#REF!="Muy Baja",'Mapa final'!#REF!="Mayor"),CONCATENATE("R4C",'Mapa final'!#REF!),"")</f>
        <v>#REF!</v>
      </c>
      <c r="S25" s="14" t="e">
        <f>IF(AND('Mapa final'!#REF!="Muy Baja",'Mapa final'!#REF!="Mayor"),CONCATENATE("R4C",'Mapa final'!#REF!),"")</f>
        <v>#REF!</v>
      </c>
      <c r="T25" s="80" t="e">
        <f>IF(AND('Mapa final'!#REF!="Muy Baja",'Mapa final'!#REF!="Catastrófico"),CONCATENATE("R4C",'Mapa final'!#REF!),"")</f>
        <v>#REF!</v>
      </c>
      <c r="U25" s="81" t="e">
        <f>IF(AND('Mapa final'!#REF!="Muy Baja",'Mapa final'!#REF!="Catastrófico"),CONCATENATE("R4C",'Mapa final'!#REF!),"")</f>
        <v>#REF!</v>
      </c>
      <c r="V25" s="82" t="e">
        <f>IF(AND('Mapa final'!#REF!="Muy Baja",'Mapa final'!#REF!="Catastrófico"),CONCATENATE("R4C",'Mapa final'!#REF!),"")</f>
        <v>#REF!</v>
      </c>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row>
    <row r="26" spans="1:63" x14ac:dyDescent="0.25">
      <c r="A26" s="18"/>
      <c r="B26" s="18"/>
      <c r="C26" s="18"/>
      <c r="D26" s="18"/>
      <c r="E26" s="18"/>
      <c r="F26" s="18"/>
      <c r="G26" s="18"/>
      <c r="H26" s="333" t="s">
        <v>82</v>
      </c>
      <c r="I26" s="334"/>
      <c r="J26" s="334"/>
      <c r="K26" s="333" t="s">
        <v>81</v>
      </c>
      <c r="L26" s="334"/>
      <c r="M26" s="334"/>
      <c r="N26" s="333" t="s">
        <v>80</v>
      </c>
      <c r="O26" s="334"/>
      <c r="P26" s="334"/>
      <c r="Q26" s="333" t="s">
        <v>79</v>
      </c>
      <c r="R26" s="333"/>
      <c r="S26" s="334"/>
      <c r="T26" s="333" t="s">
        <v>78</v>
      </c>
      <c r="U26" s="334"/>
      <c r="V26" s="334"/>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row>
    <row r="27" spans="1:63" x14ac:dyDescent="0.25">
      <c r="A27" s="18"/>
      <c r="B27" s="18"/>
      <c r="C27" s="18"/>
      <c r="D27" s="18"/>
      <c r="E27" s="18"/>
      <c r="F27" s="18"/>
      <c r="G27" s="18"/>
      <c r="H27" s="334"/>
      <c r="I27" s="334"/>
      <c r="J27" s="334"/>
      <c r="K27" s="334"/>
      <c r="L27" s="334"/>
      <c r="M27" s="334"/>
      <c r="N27" s="334"/>
      <c r="O27" s="334"/>
      <c r="P27" s="334"/>
      <c r="Q27" s="334"/>
      <c r="R27" s="334"/>
      <c r="S27" s="334"/>
      <c r="T27" s="334"/>
      <c r="U27" s="334"/>
      <c r="V27" s="334"/>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row>
    <row r="28" spans="1:63" x14ac:dyDescent="0.25">
      <c r="A28" s="18"/>
      <c r="B28" s="18"/>
      <c r="C28" s="18"/>
      <c r="D28" s="18"/>
      <c r="E28" s="18"/>
      <c r="F28" s="18"/>
      <c r="G28" s="18"/>
      <c r="H28" s="334"/>
      <c r="I28" s="334"/>
      <c r="J28" s="334"/>
      <c r="K28" s="334"/>
      <c r="L28" s="334"/>
      <c r="M28" s="334"/>
      <c r="N28" s="334"/>
      <c r="O28" s="334"/>
      <c r="P28" s="334"/>
      <c r="Q28" s="334"/>
      <c r="R28" s="334"/>
      <c r="S28" s="334"/>
      <c r="T28" s="334"/>
      <c r="U28" s="334"/>
      <c r="V28" s="334"/>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row>
    <row r="29" spans="1:63" x14ac:dyDescent="0.25">
      <c r="A29" s="18"/>
      <c r="B29" s="18"/>
      <c r="C29" s="18"/>
      <c r="D29" s="18"/>
      <c r="E29" s="18"/>
      <c r="F29" s="18"/>
      <c r="G29" s="18"/>
      <c r="H29" s="334"/>
      <c r="I29" s="334"/>
      <c r="J29" s="334"/>
      <c r="K29" s="334"/>
      <c r="L29" s="334"/>
      <c r="M29" s="334"/>
      <c r="N29" s="334"/>
      <c r="O29" s="334"/>
      <c r="P29" s="334"/>
      <c r="Q29" s="334"/>
      <c r="R29" s="334"/>
      <c r="S29" s="334"/>
      <c r="T29" s="334"/>
      <c r="U29" s="334"/>
      <c r="V29" s="334"/>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row>
    <row r="30" spans="1:63" x14ac:dyDescent="0.25">
      <c r="A30" s="18"/>
      <c r="B30" s="18"/>
      <c r="C30" s="18"/>
      <c r="D30" s="18"/>
      <c r="E30" s="18"/>
      <c r="F30" s="18"/>
      <c r="G30" s="18"/>
      <c r="H30" s="334"/>
      <c r="I30" s="334"/>
      <c r="J30" s="334"/>
      <c r="K30" s="334"/>
      <c r="L30" s="334"/>
      <c r="M30" s="334"/>
      <c r="N30" s="334"/>
      <c r="O30" s="334"/>
      <c r="P30" s="334"/>
      <c r="Q30" s="334"/>
      <c r="R30" s="334"/>
      <c r="S30" s="334"/>
      <c r="T30" s="334"/>
      <c r="U30" s="334"/>
      <c r="V30" s="334"/>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row>
    <row r="31" spans="1:63"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63" ht="15" customHeight="1" x14ac:dyDescent="0.25">
      <c r="A32" s="18"/>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18"/>
      <c r="AE32" s="18"/>
      <c r="AF32" s="18"/>
      <c r="AG32" s="18"/>
      <c r="AH32" s="18"/>
      <c r="AI32" s="18"/>
      <c r="AJ32" s="18"/>
      <c r="AK32" s="18"/>
      <c r="AL32" s="18"/>
      <c r="AM32" s="18"/>
      <c r="AN32" s="18"/>
      <c r="AO32" s="18"/>
      <c r="AP32" s="18"/>
      <c r="AQ32" s="18"/>
    </row>
    <row r="33" spans="1:43" ht="15" customHeight="1" x14ac:dyDescent="0.25">
      <c r="A33" s="1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18"/>
      <c r="AE33" s="18"/>
      <c r="AF33" s="18"/>
      <c r="AG33" s="18"/>
      <c r="AH33" s="18"/>
      <c r="AI33" s="18"/>
      <c r="AJ33" s="18"/>
      <c r="AK33" s="18"/>
      <c r="AL33" s="18"/>
      <c r="AM33" s="18"/>
      <c r="AN33" s="18"/>
      <c r="AO33" s="18"/>
      <c r="AP33" s="18"/>
      <c r="AQ33" s="18"/>
    </row>
    <row r="34" spans="1:43"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3"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1:43"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row>
    <row r="78" spans="1:43"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spans="1:43"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1:43"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1:43"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1:43"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row>
    <row r="87" spans="1:43"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row>
    <row r="88" spans="1:43"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row r="89" spans="1:43"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row>
    <row r="90" spans="1:43"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spans="1:43"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row r="92" spans="1:43"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spans="1:43"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1:43"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row>
    <row r="95" spans="1:43"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spans="1:43"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row>
    <row r="97" spans="1:43"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row>
    <row r="98" spans="1:43"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row>
    <row r="99" spans="1:43"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row>
    <row r="100" spans="1:43"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row>
    <row r="101" spans="1:43"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row>
    <row r="103" spans="1:43"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row>
    <row r="104" spans="1:43"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row>
    <row r="105" spans="1:43"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row>
    <row r="106" spans="1:43"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row>
    <row r="107" spans="1:43"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row>
    <row r="108" spans="1:43"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row>
    <row r="109" spans="1:43"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row>
    <row r="110" spans="1:43"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row>
    <row r="111" spans="1:43"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row>
    <row r="113" spans="1:43"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row>
    <row r="114" spans="1:43"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row>
    <row r="115" spans="1:43"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row>
    <row r="116" spans="1:43"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row>
    <row r="117" spans="1:43"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row>
    <row r="118" spans="1:43"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row>
    <row r="119" spans="1:43"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row>
    <row r="120" spans="1:43"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row>
    <row r="121" spans="1:43"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row>
    <row r="122" spans="1:43"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row>
    <row r="123" spans="1:43"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row>
    <row r="124" spans="1:43"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row>
    <row r="125" spans="1:43"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row>
    <row r="126" spans="1:43"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row>
    <row r="127" spans="1:43"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row>
    <row r="128" spans="1:43"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row>
    <row r="129" spans="1:43"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row>
    <row r="130" spans="1:43"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row>
    <row r="131" spans="1:43"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row>
    <row r="132" spans="1:43"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row>
    <row r="133" spans="1:43"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row>
    <row r="134" spans="1:43"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row>
    <row r="135" spans="1:43"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row>
    <row r="136" spans="1:43"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row>
    <row r="137" spans="1:43"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row>
    <row r="138" spans="1:43"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row>
    <row r="139" spans="1:43"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row>
    <row r="140" spans="1:43"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row>
    <row r="141" spans="1:43"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row>
    <row r="142" spans="1:43"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row>
    <row r="143" spans="1:43"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row>
    <row r="144" spans="1:43"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row>
    <row r="145" spans="1:43"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row>
    <row r="146" spans="1:43"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row>
    <row r="147" spans="1:43"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row>
    <row r="148" spans="1:43"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row>
    <row r="149" spans="1:43"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row>
    <row r="150" spans="1:43"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row>
    <row r="151" spans="1:43"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row>
    <row r="152" spans="1:43"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row>
    <row r="153" spans="1:43"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row>
    <row r="154" spans="1:43"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row>
    <row r="155" spans="1:43"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row>
    <row r="156" spans="1:43"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row>
    <row r="157" spans="1:43"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row>
    <row r="158" spans="1:43"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row>
    <row r="159" spans="1:43"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row>
    <row r="160" spans="1:43" x14ac:dyDescent="0.25">
      <c r="A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row>
    <row r="161" spans="1:43" x14ac:dyDescent="0.25">
      <c r="A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row>
    <row r="162" spans="1:43" x14ac:dyDescent="0.25">
      <c r="A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row>
    <row r="163" spans="1:43" x14ac:dyDescent="0.25">
      <c r="A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row>
    <row r="164" spans="1:43" x14ac:dyDescent="0.25">
      <c r="A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row>
    <row r="165" spans="1:43" x14ac:dyDescent="0.25">
      <c r="A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row>
    <row r="166" spans="1:43" x14ac:dyDescent="0.25">
      <c r="A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row>
    <row r="167" spans="1:43" x14ac:dyDescent="0.25">
      <c r="A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row>
    <row r="168" spans="1:43" x14ac:dyDescent="0.25">
      <c r="A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row>
    <row r="169" spans="1:43" x14ac:dyDescent="0.25">
      <c r="A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row>
    <row r="170" spans="1:43" x14ac:dyDescent="0.25">
      <c r="A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row>
    <row r="171" spans="1:43" x14ac:dyDescent="0.25">
      <c r="A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row>
    <row r="172" spans="1:43" x14ac:dyDescent="0.25">
      <c r="A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row>
    <row r="173" spans="1:43" x14ac:dyDescent="0.25">
      <c r="A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row>
    <row r="174" spans="1:43" x14ac:dyDescent="0.25">
      <c r="A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row>
    <row r="175" spans="1:43" x14ac:dyDescent="0.25">
      <c r="A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row>
    <row r="176" spans="1:43" x14ac:dyDescent="0.25">
      <c r="A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row>
    <row r="177" spans="1:43" x14ac:dyDescent="0.25">
      <c r="A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row>
    <row r="178" spans="1:43" x14ac:dyDescent="0.25">
      <c r="A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row>
    <row r="179" spans="1:43" x14ac:dyDescent="0.25">
      <c r="A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row>
    <row r="180" spans="1:43" x14ac:dyDescent="0.25">
      <c r="A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row>
    <row r="181" spans="1:43" x14ac:dyDescent="0.25">
      <c r="A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row>
    <row r="182" spans="1:43" x14ac:dyDescent="0.25">
      <c r="A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row>
    <row r="183" spans="1:43" x14ac:dyDescent="0.25">
      <c r="A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row>
    <row r="184" spans="1:43" x14ac:dyDescent="0.25">
      <c r="A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row>
    <row r="185" spans="1:43" x14ac:dyDescent="0.25">
      <c r="A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row>
    <row r="186" spans="1:43" x14ac:dyDescent="0.25">
      <c r="A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row>
    <row r="187" spans="1:43" x14ac:dyDescent="0.25">
      <c r="A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row>
    <row r="188" spans="1:43" x14ac:dyDescent="0.25">
      <c r="A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row>
    <row r="189" spans="1:43" x14ac:dyDescent="0.25">
      <c r="A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row>
    <row r="190" spans="1:43" x14ac:dyDescent="0.25">
      <c r="A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row>
    <row r="191" spans="1:43" x14ac:dyDescent="0.25">
      <c r="A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row>
    <row r="192" spans="1:43" x14ac:dyDescent="0.25">
      <c r="A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row>
    <row r="193" spans="1:43" x14ac:dyDescent="0.25">
      <c r="A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row>
    <row r="194" spans="1:43" x14ac:dyDescent="0.25">
      <c r="A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row>
    <row r="195" spans="1:43" x14ac:dyDescent="0.25">
      <c r="A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row>
    <row r="196" spans="1:43" x14ac:dyDescent="0.25">
      <c r="A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row>
    <row r="197" spans="1:43" x14ac:dyDescent="0.25">
      <c r="A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row>
    <row r="198" spans="1:43" x14ac:dyDescent="0.25">
      <c r="A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row>
    <row r="199" spans="1:43" x14ac:dyDescent="0.25">
      <c r="A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row>
    <row r="200" spans="1:43" x14ac:dyDescent="0.25">
      <c r="A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row>
    <row r="201" spans="1:43" x14ac:dyDescent="0.25">
      <c r="A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row>
    <row r="202" spans="1:43" x14ac:dyDescent="0.25">
      <c r="A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row>
    <row r="203" spans="1:43" x14ac:dyDescent="0.25">
      <c r="A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row>
    <row r="204" spans="1:43" x14ac:dyDescent="0.25">
      <c r="A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row>
    <row r="205" spans="1:43" x14ac:dyDescent="0.25">
      <c r="A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row>
    <row r="206" spans="1:43" x14ac:dyDescent="0.25">
      <c r="A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row>
    <row r="207" spans="1:43" x14ac:dyDescent="0.25">
      <c r="A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row>
    <row r="208" spans="1:43" x14ac:dyDescent="0.25">
      <c r="A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row>
    <row r="209" spans="1:43" x14ac:dyDescent="0.25">
      <c r="A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row>
    <row r="210" spans="1:43" x14ac:dyDescent="0.25">
      <c r="A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row>
    <row r="211" spans="1:43" x14ac:dyDescent="0.25">
      <c r="A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row>
    <row r="212" spans="1:43" x14ac:dyDescent="0.25">
      <c r="A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row>
    <row r="213" spans="1:43" x14ac:dyDescent="0.25">
      <c r="A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row>
    <row r="214" spans="1:43" x14ac:dyDescent="0.25">
      <c r="A214" s="18"/>
    </row>
    <row r="215" spans="1:43" x14ac:dyDescent="0.25">
      <c r="A215" s="18"/>
    </row>
    <row r="216" spans="1:43" x14ac:dyDescent="0.25">
      <c r="A216" s="18"/>
    </row>
    <row r="217" spans="1:43" x14ac:dyDescent="0.25">
      <c r="A217" s="18"/>
    </row>
  </sheetData>
  <mergeCells count="17">
    <mergeCell ref="H26:J30"/>
    <mergeCell ref="K26:M30"/>
    <mergeCell ref="N26:P30"/>
    <mergeCell ref="Q26:S30"/>
    <mergeCell ref="T26:V30"/>
    <mergeCell ref="X10:AC13"/>
    <mergeCell ref="E10:G13"/>
    <mergeCell ref="X6:AC9"/>
    <mergeCell ref="B2:G4"/>
    <mergeCell ref="H2:V4"/>
    <mergeCell ref="B6:D25"/>
    <mergeCell ref="E6:G9"/>
    <mergeCell ref="E22:G25"/>
    <mergeCell ref="X18:AC21"/>
    <mergeCell ref="E18:G21"/>
    <mergeCell ref="X14:AC17"/>
    <mergeCell ref="E14:G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sheetPr>
  <dimension ref="A1:AK55"/>
  <sheetViews>
    <sheetView zoomScale="70" zoomScaleNormal="70" workbookViewId="0">
      <selection activeCell="A3" sqref="A3"/>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18"/>
      <c r="B1" s="355" t="s">
        <v>50</v>
      </c>
      <c r="C1" s="355"/>
      <c r="D1" s="355"/>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7" x14ac:dyDescent="0.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7" ht="25.5" x14ac:dyDescent="0.25">
      <c r="A3" s="18"/>
      <c r="B3" s="3"/>
      <c r="C3" s="4" t="s">
        <v>47</v>
      </c>
      <c r="D3" s="4" t="s">
        <v>3</v>
      </c>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7" ht="51" x14ac:dyDescent="0.25">
      <c r="A4" s="18"/>
      <c r="B4" s="5" t="s">
        <v>46</v>
      </c>
      <c r="C4" s="6" t="s">
        <v>72</v>
      </c>
      <c r="D4" s="7">
        <v>0.2</v>
      </c>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7" ht="51" x14ac:dyDescent="0.25">
      <c r="A5" s="18"/>
      <c r="B5" s="8" t="s">
        <v>48</v>
      </c>
      <c r="C5" s="9" t="s">
        <v>73</v>
      </c>
      <c r="D5" s="10">
        <v>0.4</v>
      </c>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7" ht="51" x14ac:dyDescent="0.25">
      <c r="A6" s="18"/>
      <c r="B6" s="11" t="s">
        <v>77</v>
      </c>
      <c r="C6" s="9" t="s">
        <v>74</v>
      </c>
      <c r="D6" s="10">
        <v>0.6</v>
      </c>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7" ht="76.5" x14ac:dyDescent="0.25">
      <c r="A7" s="18"/>
      <c r="B7" s="12" t="s">
        <v>5</v>
      </c>
      <c r="C7" s="9" t="s">
        <v>75</v>
      </c>
      <c r="D7" s="10">
        <v>0.8</v>
      </c>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7" ht="51" x14ac:dyDescent="0.25">
      <c r="A8" s="18"/>
      <c r="B8" s="13" t="s">
        <v>49</v>
      </c>
      <c r="C8" s="9" t="s">
        <v>76</v>
      </c>
      <c r="D8" s="10">
        <v>1</v>
      </c>
      <c r="E8" s="18"/>
      <c r="F8" s="18"/>
      <c r="G8" s="18"/>
      <c r="H8" s="18"/>
      <c r="I8" s="18"/>
      <c r="J8" s="18"/>
      <c r="K8" s="18"/>
      <c r="L8" s="18"/>
      <c r="M8" s="18"/>
      <c r="N8" s="18"/>
      <c r="O8" s="18"/>
      <c r="P8" s="18"/>
      <c r="Q8" s="18"/>
      <c r="R8" s="18"/>
      <c r="S8" s="18"/>
      <c r="T8" s="18"/>
      <c r="U8" s="18"/>
      <c r="V8" s="18"/>
      <c r="W8" s="18"/>
      <c r="X8" s="18"/>
      <c r="Y8" s="18"/>
      <c r="Z8" s="18"/>
      <c r="AA8" s="18"/>
      <c r="AB8" s="18"/>
      <c r="AC8" s="18"/>
      <c r="AD8" s="18"/>
      <c r="AE8" s="18"/>
    </row>
    <row r="9" spans="1:37" x14ac:dyDescent="0.25">
      <c r="A9" s="18"/>
      <c r="B9" s="38"/>
      <c r="C9" s="38"/>
      <c r="D9" s="3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ht="16.5" x14ac:dyDescent="0.25">
      <c r="A10" s="18"/>
      <c r="B10" s="39"/>
      <c r="C10" s="38"/>
      <c r="D10" s="3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x14ac:dyDescent="0.25">
      <c r="A11" s="18"/>
      <c r="B11" s="38"/>
      <c r="C11" s="38"/>
      <c r="D11" s="3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7" x14ac:dyDescent="0.25">
      <c r="A12" s="18"/>
      <c r="B12" s="38"/>
      <c r="C12" s="38"/>
      <c r="D12" s="3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1:37" x14ac:dyDescent="0.25">
      <c r="A13" s="18"/>
      <c r="B13" s="38"/>
      <c r="C13" s="38"/>
      <c r="D13" s="3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1:37" x14ac:dyDescent="0.25">
      <c r="A14" s="18"/>
      <c r="B14" s="38"/>
      <c r="C14" s="38"/>
      <c r="D14" s="3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7" x14ac:dyDescent="0.25">
      <c r="A15" s="18"/>
      <c r="B15" s="38"/>
      <c r="C15" s="38"/>
      <c r="D15" s="3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7" x14ac:dyDescent="0.25">
      <c r="A16" s="18"/>
      <c r="B16" s="38"/>
      <c r="C16" s="38"/>
      <c r="D16" s="3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7" x14ac:dyDescent="0.25">
      <c r="A17" s="18"/>
      <c r="B17" s="38"/>
      <c r="C17" s="38"/>
      <c r="D17" s="3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37" x14ac:dyDescent="0.25">
      <c r="A18" s="18"/>
      <c r="B18" s="38"/>
      <c r="C18" s="38"/>
      <c r="D18" s="3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1:37"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1:37"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1:37"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1:37"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row>
    <row r="27" spans="1:37"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row>
    <row r="28" spans="1:37"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37"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1:37"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1:37"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1:37"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1" x14ac:dyDescent="0.25">
      <c r="A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x14ac:dyDescent="0.25">
      <c r="A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5">
      <c r="A35" s="18"/>
    </row>
    <row r="36" spans="1:31" x14ac:dyDescent="0.25">
      <c r="A36" s="18"/>
    </row>
    <row r="37" spans="1:31" x14ac:dyDescent="0.25">
      <c r="A37" s="18"/>
    </row>
    <row r="38" spans="1:31" x14ac:dyDescent="0.25">
      <c r="A38" s="18"/>
    </row>
    <row r="39" spans="1:31" x14ac:dyDescent="0.25">
      <c r="A39" s="18"/>
    </row>
    <row r="40" spans="1:31" x14ac:dyDescent="0.25">
      <c r="A40" s="18"/>
    </row>
    <row r="41" spans="1:31" x14ac:dyDescent="0.25">
      <c r="A41" s="18"/>
    </row>
    <row r="42" spans="1:31" x14ac:dyDescent="0.25">
      <c r="A42" s="18"/>
    </row>
    <row r="43" spans="1:31" x14ac:dyDescent="0.25">
      <c r="A43" s="18"/>
    </row>
    <row r="44" spans="1:31" x14ac:dyDescent="0.25">
      <c r="A44" s="18"/>
    </row>
    <row r="45" spans="1:31" x14ac:dyDescent="0.25">
      <c r="A45" s="18"/>
    </row>
    <row r="46" spans="1:31" x14ac:dyDescent="0.25">
      <c r="A46" s="18"/>
    </row>
    <row r="47" spans="1:31" x14ac:dyDescent="0.25">
      <c r="A47" s="18"/>
    </row>
    <row r="48" spans="1:31" x14ac:dyDescent="0.25">
      <c r="A48" s="18"/>
    </row>
    <row r="49" spans="1:1" x14ac:dyDescent="0.25">
      <c r="A49" s="18"/>
    </row>
    <row r="50" spans="1:1" x14ac:dyDescent="0.25">
      <c r="A50" s="18"/>
    </row>
    <row r="51" spans="1:1" x14ac:dyDescent="0.25">
      <c r="A51" s="18"/>
    </row>
    <row r="52" spans="1:1" x14ac:dyDescent="0.25">
      <c r="A52" s="18"/>
    </row>
    <row r="53" spans="1:1" x14ac:dyDescent="0.25">
      <c r="A53" s="18"/>
    </row>
    <row r="54" spans="1:1" x14ac:dyDescent="0.25">
      <c r="A54" s="18"/>
    </row>
    <row r="55" spans="1:1" x14ac:dyDescent="0.25">
      <c r="A55" s="18"/>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41"/>
  <sheetViews>
    <sheetView topLeftCell="C10" workbookViewId="0">
      <selection activeCell="K21" sqref="K21"/>
    </sheetView>
  </sheetViews>
  <sheetFormatPr baseColWidth="10" defaultColWidth="11.42578125" defaultRowHeight="11.25" x14ac:dyDescent="0.15"/>
  <cols>
    <col min="1" max="1" width="11.42578125" style="112"/>
    <col min="2" max="2" width="6.42578125" style="112" customWidth="1"/>
    <col min="3" max="5" width="10.85546875" style="112"/>
    <col min="6" max="6" width="10.85546875" style="112" customWidth="1"/>
    <col min="7" max="7" width="10.85546875" style="112"/>
    <col min="8" max="8" width="13.42578125" style="112" customWidth="1"/>
    <col min="9" max="18" width="11.42578125" style="112" customWidth="1"/>
    <col min="19" max="16384" width="11.42578125" style="112"/>
  </cols>
  <sheetData>
    <row r="1" spans="2:18" x14ac:dyDescent="0.15">
      <c r="I1" s="360" t="s">
        <v>200</v>
      </c>
      <c r="J1" s="360"/>
      <c r="K1" s="360" t="s">
        <v>201</v>
      </c>
      <c r="L1" s="360"/>
      <c r="M1" s="360" t="s">
        <v>202</v>
      </c>
      <c r="N1" s="360"/>
      <c r="O1" s="360" t="s">
        <v>203</v>
      </c>
      <c r="P1" s="360"/>
      <c r="Q1" s="360" t="s">
        <v>204</v>
      </c>
      <c r="R1" s="360"/>
    </row>
    <row r="2" spans="2:18" ht="45" customHeight="1" x14ac:dyDescent="0.15">
      <c r="B2" s="369" t="s">
        <v>199</v>
      </c>
      <c r="C2" s="369"/>
      <c r="D2" s="369"/>
      <c r="E2" s="369"/>
      <c r="F2" s="369"/>
      <c r="G2" s="369"/>
      <c r="H2" s="369"/>
      <c r="I2" s="363" t="e">
        <f t="array" ref="I2">+'Mapa final'!#REF!</f>
        <v>#REF!</v>
      </c>
      <c r="J2" s="363"/>
      <c r="K2" s="362"/>
      <c r="L2" s="362"/>
      <c r="M2" s="362"/>
      <c r="N2" s="362"/>
      <c r="O2" s="362"/>
      <c r="P2" s="362"/>
      <c r="Q2" s="362"/>
      <c r="R2" s="362"/>
    </row>
    <row r="3" spans="2:18" ht="15" customHeight="1" x14ac:dyDescent="0.15">
      <c r="B3" s="368" t="s">
        <v>213</v>
      </c>
      <c r="C3" s="359" t="s">
        <v>195</v>
      </c>
      <c r="D3" s="360"/>
      <c r="E3" s="360"/>
      <c r="F3" s="360"/>
      <c r="G3" s="360"/>
      <c r="H3" s="360"/>
      <c r="I3" s="360" t="s">
        <v>196</v>
      </c>
      <c r="J3" s="360"/>
      <c r="K3" s="360" t="s">
        <v>196</v>
      </c>
      <c r="L3" s="360"/>
      <c r="M3" s="360" t="s">
        <v>196</v>
      </c>
      <c r="N3" s="360"/>
      <c r="O3" s="360" t="s">
        <v>196</v>
      </c>
      <c r="P3" s="360"/>
      <c r="Q3" s="360" t="s">
        <v>196</v>
      </c>
      <c r="R3" s="360"/>
    </row>
    <row r="4" spans="2:18" x14ac:dyDescent="0.15">
      <c r="B4" s="368"/>
      <c r="C4" s="360"/>
      <c r="D4" s="360"/>
      <c r="E4" s="360"/>
      <c r="F4" s="360"/>
      <c r="G4" s="360"/>
      <c r="H4" s="360"/>
      <c r="I4" s="116" t="s">
        <v>197</v>
      </c>
      <c r="J4" s="116" t="s">
        <v>198</v>
      </c>
      <c r="K4" s="116" t="s">
        <v>197</v>
      </c>
      <c r="L4" s="116" t="s">
        <v>198</v>
      </c>
      <c r="M4" s="116" t="s">
        <v>197</v>
      </c>
      <c r="N4" s="116" t="s">
        <v>198</v>
      </c>
      <c r="O4" s="116" t="s">
        <v>197</v>
      </c>
      <c r="P4" s="116" t="s">
        <v>198</v>
      </c>
      <c r="Q4" s="116" t="s">
        <v>197</v>
      </c>
      <c r="R4" s="116" t="s">
        <v>198</v>
      </c>
    </row>
    <row r="5" spans="2:18" x14ac:dyDescent="0.15">
      <c r="B5" s="114">
        <v>1</v>
      </c>
      <c r="C5" s="356" t="s">
        <v>178</v>
      </c>
      <c r="D5" s="357"/>
      <c r="E5" s="357"/>
      <c r="F5" s="357"/>
      <c r="G5" s="357"/>
      <c r="H5" s="358"/>
      <c r="I5" s="113">
        <v>1</v>
      </c>
      <c r="J5" s="113"/>
      <c r="K5" s="113"/>
      <c r="L5" s="113"/>
      <c r="M5" s="113"/>
      <c r="N5" s="113"/>
      <c r="O5" s="113"/>
      <c r="P5" s="113"/>
      <c r="Q5" s="113"/>
      <c r="R5" s="113"/>
    </row>
    <row r="6" spans="2:18" x14ac:dyDescent="0.15">
      <c r="B6" s="114">
        <v>2</v>
      </c>
      <c r="C6" s="356" t="s">
        <v>179</v>
      </c>
      <c r="D6" s="357"/>
      <c r="E6" s="357"/>
      <c r="F6" s="357"/>
      <c r="G6" s="357"/>
      <c r="H6" s="358"/>
      <c r="I6" s="113">
        <v>1</v>
      </c>
      <c r="J6" s="113"/>
      <c r="K6" s="113"/>
      <c r="L6" s="113"/>
      <c r="M6" s="113"/>
      <c r="N6" s="113"/>
      <c r="O6" s="113"/>
      <c r="P6" s="113"/>
      <c r="Q6" s="113"/>
      <c r="R6" s="113"/>
    </row>
    <row r="7" spans="2:18" x14ac:dyDescent="0.15">
      <c r="B7" s="114">
        <v>3</v>
      </c>
      <c r="C7" s="356" t="s">
        <v>180</v>
      </c>
      <c r="D7" s="357"/>
      <c r="E7" s="357"/>
      <c r="F7" s="357"/>
      <c r="G7" s="357"/>
      <c r="H7" s="358"/>
      <c r="I7" s="113"/>
      <c r="J7" s="113">
        <v>1</v>
      </c>
      <c r="K7" s="113"/>
      <c r="L7" s="113"/>
      <c r="M7" s="113"/>
      <c r="N7" s="113"/>
      <c r="O7" s="113"/>
      <c r="P7" s="113"/>
      <c r="Q7" s="113"/>
      <c r="R7" s="113"/>
    </row>
    <row r="8" spans="2:18" x14ac:dyDescent="0.15">
      <c r="B8" s="114">
        <v>4</v>
      </c>
      <c r="C8" s="356" t="s">
        <v>181</v>
      </c>
      <c r="D8" s="357"/>
      <c r="E8" s="357"/>
      <c r="F8" s="357"/>
      <c r="G8" s="357"/>
      <c r="H8" s="358"/>
      <c r="I8" s="113"/>
      <c r="J8" s="113">
        <v>1</v>
      </c>
      <c r="K8" s="113"/>
      <c r="L8" s="113"/>
      <c r="M8" s="113"/>
      <c r="N8" s="113"/>
      <c r="O8" s="113"/>
      <c r="P8" s="113"/>
      <c r="Q8" s="113"/>
      <c r="R8" s="113"/>
    </row>
    <row r="9" spans="2:18" x14ac:dyDescent="0.15">
      <c r="B9" s="114">
        <v>5</v>
      </c>
      <c r="C9" s="356" t="s">
        <v>182</v>
      </c>
      <c r="D9" s="357"/>
      <c r="E9" s="357"/>
      <c r="F9" s="357"/>
      <c r="G9" s="357"/>
      <c r="H9" s="358"/>
      <c r="I9" s="113"/>
      <c r="J9" s="113">
        <v>1</v>
      </c>
      <c r="K9" s="113"/>
      <c r="L9" s="113"/>
      <c r="M9" s="113"/>
      <c r="N9" s="113"/>
      <c r="O9" s="113"/>
      <c r="P9" s="113"/>
      <c r="Q9" s="113"/>
      <c r="R9" s="113"/>
    </row>
    <row r="10" spans="2:18" x14ac:dyDescent="0.15">
      <c r="B10" s="114">
        <v>6</v>
      </c>
      <c r="C10" s="356" t="s">
        <v>183</v>
      </c>
      <c r="D10" s="357"/>
      <c r="E10" s="357"/>
      <c r="F10" s="357"/>
      <c r="G10" s="357"/>
      <c r="H10" s="358"/>
      <c r="I10" s="113">
        <v>1</v>
      </c>
      <c r="J10" s="113"/>
      <c r="K10" s="113"/>
      <c r="L10" s="113"/>
      <c r="M10" s="113"/>
      <c r="N10" s="113"/>
      <c r="O10" s="113"/>
      <c r="P10" s="113"/>
      <c r="Q10" s="113"/>
      <c r="R10" s="113"/>
    </row>
    <row r="11" spans="2:18" x14ac:dyDescent="0.15">
      <c r="B11" s="114">
        <v>7</v>
      </c>
      <c r="C11" s="356" t="s">
        <v>184</v>
      </c>
      <c r="D11" s="357"/>
      <c r="E11" s="357"/>
      <c r="F11" s="357"/>
      <c r="G11" s="357"/>
      <c r="H11" s="358"/>
      <c r="I11" s="113">
        <v>1</v>
      </c>
      <c r="J11" s="113"/>
      <c r="K11" s="113"/>
      <c r="L11" s="113"/>
      <c r="M11" s="113"/>
      <c r="N11" s="113"/>
      <c r="O11" s="113"/>
      <c r="P11" s="113"/>
      <c r="Q11" s="113"/>
      <c r="R11" s="113"/>
    </row>
    <row r="12" spans="2:18" x14ac:dyDescent="0.15">
      <c r="B12" s="114">
        <v>8</v>
      </c>
      <c r="C12" s="361" t="s">
        <v>185</v>
      </c>
      <c r="D12" s="357"/>
      <c r="E12" s="357"/>
      <c r="F12" s="357"/>
      <c r="G12" s="357"/>
      <c r="H12" s="358"/>
      <c r="I12" s="113"/>
      <c r="J12" s="113">
        <v>1</v>
      </c>
      <c r="K12" s="113"/>
      <c r="L12" s="113"/>
      <c r="M12" s="113"/>
      <c r="N12" s="113"/>
      <c r="O12" s="113"/>
      <c r="P12" s="113"/>
      <c r="Q12" s="113"/>
      <c r="R12" s="113"/>
    </row>
    <row r="13" spans="2:18" x14ac:dyDescent="0.15">
      <c r="B13" s="114">
        <v>9</v>
      </c>
      <c r="C13" s="356" t="s">
        <v>186</v>
      </c>
      <c r="D13" s="357"/>
      <c r="E13" s="357"/>
      <c r="F13" s="357"/>
      <c r="G13" s="357"/>
      <c r="H13" s="358"/>
      <c r="I13" s="113"/>
      <c r="J13" s="113">
        <v>1</v>
      </c>
      <c r="K13" s="113"/>
      <c r="L13" s="113"/>
      <c r="M13" s="113"/>
      <c r="N13" s="113"/>
      <c r="O13" s="113"/>
      <c r="P13" s="113"/>
      <c r="Q13" s="113"/>
      <c r="R13" s="113"/>
    </row>
    <row r="14" spans="2:18" x14ac:dyDescent="0.15">
      <c r="B14" s="114">
        <v>10</v>
      </c>
      <c r="C14" s="356" t="s">
        <v>187</v>
      </c>
      <c r="D14" s="357"/>
      <c r="E14" s="357"/>
      <c r="F14" s="357"/>
      <c r="G14" s="357"/>
      <c r="H14" s="358"/>
      <c r="I14" s="113">
        <v>1</v>
      </c>
      <c r="J14" s="113"/>
      <c r="K14" s="113"/>
      <c r="L14" s="113"/>
      <c r="M14" s="113"/>
      <c r="N14" s="113"/>
      <c r="O14" s="113"/>
      <c r="P14" s="113"/>
      <c r="Q14" s="113"/>
      <c r="R14" s="113"/>
    </row>
    <row r="15" spans="2:18" x14ac:dyDescent="0.15">
      <c r="B15" s="114">
        <v>11</v>
      </c>
      <c r="C15" s="356" t="s">
        <v>188</v>
      </c>
      <c r="D15" s="357"/>
      <c r="E15" s="357"/>
      <c r="F15" s="357"/>
      <c r="G15" s="357"/>
      <c r="H15" s="358"/>
      <c r="I15" s="113">
        <v>1</v>
      </c>
      <c r="J15" s="113"/>
      <c r="K15" s="113"/>
      <c r="L15" s="113"/>
      <c r="M15" s="113"/>
      <c r="N15" s="113"/>
      <c r="O15" s="113"/>
      <c r="P15" s="113"/>
      <c r="Q15" s="113"/>
      <c r="R15" s="113"/>
    </row>
    <row r="16" spans="2:18" x14ac:dyDescent="0.15">
      <c r="B16" s="114">
        <v>12</v>
      </c>
      <c r="C16" s="356" t="s">
        <v>189</v>
      </c>
      <c r="D16" s="357"/>
      <c r="E16" s="357"/>
      <c r="F16" s="357"/>
      <c r="G16" s="357"/>
      <c r="H16" s="358"/>
      <c r="I16" s="113">
        <v>1</v>
      </c>
      <c r="J16" s="113"/>
      <c r="K16" s="113"/>
      <c r="L16" s="113"/>
      <c r="M16" s="113"/>
      <c r="N16" s="113"/>
      <c r="O16" s="113"/>
      <c r="P16" s="113"/>
      <c r="Q16" s="113"/>
      <c r="R16" s="113"/>
    </row>
    <row r="17" spans="2:18" x14ac:dyDescent="0.15">
      <c r="B17" s="114">
        <v>13</v>
      </c>
      <c r="C17" s="356" t="s">
        <v>190</v>
      </c>
      <c r="D17" s="357"/>
      <c r="E17" s="357"/>
      <c r="F17" s="357"/>
      <c r="G17" s="357"/>
      <c r="H17" s="358"/>
      <c r="I17" s="113"/>
      <c r="J17" s="113">
        <v>1</v>
      </c>
      <c r="K17" s="113"/>
      <c r="L17" s="113"/>
      <c r="M17" s="113"/>
      <c r="N17" s="113"/>
      <c r="O17" s="113"/>
      <c r="P17" s="113"/>
      <c r="Q17" s="113"/>
      <c r="R17" s="113"/>
    </row>
    <row r="18" spans="2:18" x14ac:dyDescent="0.15">
      <c r="B18" s="114">
        <v>14</v>
      </c>
      <c r="C18" s="356" t="s">
        <v>214</v>
      </c>
      <c r="D18" s="357"/>
      <c r="E18" s="357"/>
      <c r="F18" s="357"/>
      <c r="G18" s="357"/>
      <c r="H18" s="358"/>
      <c r="I18" s="113"/>
      <c r="J18" s="113">
        <v>1</v>
      </c>
      <c r="K18" s="113"/>
      <c r="L18" s="113"/>
      <c r="M18" s="113"/>
      <c r="N18" s="113"/>
      <c r="O18" s="113"/>
      <c r="P18" s="113"/>
      <c r="Q18" s="113"/>
      <c r="R18" s="113"/>
    </row>
    <row r="19" spans="2:18" x14ac:dyDescent="0.15">
      <c r="B19" s="114">
        <v>15</v>
      </c>
      <c r="C19" s="356" t="s">
        <v>191</v>
      </c>
      <c r="D19" s="357"/>
      <c r="E19" s="357"/>
      <c r="F19" s="357"/>
      <c r="G19" s="357"/>
      <c r="H19" s="358"/>
      <c r="I19" s="113">
        <v>1</v>
      </c>
      <c r="J19" s="113"/>
      <c r="K19" s="113"/>
      <c r="L19" s="113"/>
      <c r="M19" s="113"/>
      <c r="N19" s="113"/>
      <c r="O19" s="113"/>
      <c r="P19" s="113"/>
      <c r="Q19" s="113"/>
      <c r="R19" s="113"/>
    </row>
    <row r="20" spans="2:18" x14ac:dyDescent="0.15">
      <c r="B20" s="114">
        <v>16</v>
      </c>
      <c r="C20" s="356" t="s">
        <v>192</v>
      </c>
      <c r="D20" s="357"/>
      <c r="E20" s="357"/>
      <c r="F20" s="357"/>
      <c r="G20" s="357"/>
      <c r="H20" s="358"/>
      <c r="I20" s="113"/>
      <c r="J20" s="113">
        <v>1</v>
      </c>
      <c r="K20" s="113"/>
      <c r="L20" s="113"/>
      <c r="M20" s="113"/>
      <c r="N20" s="113"/>
      <c r="O20" s="113"/>
      <c r="P20" s="113"/>
      <c r="Q20" s="113"/>
      <c r="R20" s="113"/>
    </row>
    <row r="21" spans="2:18" x14ac:dyDescent="0.15">
      <c r="B21" s="114">
        <v>17</v>
      </c>
      <c r="C21" s="356" t="s">
        <v>193</v>
      </c>
      <c r="D21" s="357"/>
      <c r="E21" s="357"/>
      <c r="F21" s="357"/>
      <c r="G21" s="357"/>
      <c r="H21" s="358"/>
      <c r="I21" s="113"/>
      <c r="J21" s="113">
        <v>1</v>
      </c>
      <c r="K21" s="113"/>
      <c r="L21" s="113"/>
      <c r="M21" s="113"/>
      <c r="N21" s="113"/>
      <c r="O21" s="113"/>
      <c r="P21" s="113"/>
      <c r="Q21" s="113"/>
      <c r="R21" s="113"/>
    </row>
    <row r="22" spans="2:18" x14ac:dyDescent="0.15">
      <c r="B22" s="114">
        <v>18</v>
      </c>
      <c r="C22" s="356" t="s">
        <v>194</v>
      </c>
      <c r="D22" s="357"/>
      <c r="E22" s="357"/>
      <c r="F22" s="357"/>
      <c r="G22" s="357"/>
      <c r="H22" s="358"/>
      <c r="I22" s="113"/>
      <c r="J22" s="113">
        <v>1</v>
      </c>
      <c r="K22" s="113"/>
      <c r="L22" s="113"/>
      <c r="M22" s="113"/>
      <c r="N22" s="113"/>
      <c r="O22" s="113"/>
      <c r="P22" s="113"/>
      <c r="Q22" s="113"/>
      <c r="R22" s="113"/>
    </row>
    <row r="23" spans="2:18" x14ac:dyDescent="0.15">
      <c r="B23" s="114">
        <v>19</v>
      </c>
      <c r="C23" s="356" t="s">
        <v>215</v>
      </c>
      <c r="D23" s="357"/>
      <c r="E23" s="357"/>
      <c r="F23" s="357"/>
      <c r="G23" s="357"/>
      <c r="H23" s="358"/>
      <c r="I23" s="113"/>
      <c r="J23" s="113">
        <v>1</v>
      </c>
      <c r="K23" s="113"/>
      <c r="L23" s="113"/>
      <c r="M23" s="113"/>
      <c r="N23" s="113"/>
      <c r="O23" s="113"/>
      <c r="P23" s="113"/>
      <c r="Q23" s="113"/>
      <c r="R23" s="113"/>
    </row>
    <row r="24" spans="2:18" x14ac:dyDescent="0.15">
      <c r="C24" s="360" t="s">
        <v>205</v>
      </c>
      <c r="D24" s="360"/>
      <c r="E24" s="360"/>
      <c r="F24" s="360" t="s">
        <v>206</v>
      </c>
      <c r="G24" s="360"/>
      <c r="H24" s="360"/>
      <c r="I24" s="115">
        <f>SUM(I5:I23)</f>
        <v>8</v>
      </c>
      <c r="J24" s="115">
        <f t="shared" ref="J24:R24" si="0">SUM(J5:J23)</f>
        <v>11</v>
      </c>
      <c r="K24" s="115">
        <f t="shared" si="0"/>
        <v>0</v>
      </c>
      <c r="L24" s="115">
        <f t="shared" si="0"/>
        <v>0</v>
      </c>
      <c r="M24" s="115">
        <f t="shared" si="0"/>
        <v>0</v>
      </c>
      <c r="N24" s="115">
        <f t="shared" si="0"/>
        <v>0</v>
      </c>
      <c r="O24" s="115">
        <f t="shared" si="0"/>
        <v>0</v>
      </c>
      <c r="P24" s="115">
        <f t="shared" si="0"/>
        <v>0</v>
      </c>
      <c r="Q24" s="115">
        <f t="shared" si="0"/>
        <v>0</v>
      </c>
      <c r="R24" s="115">
        <f t="shared" si="0"/>
        <v>0</v>
      </c>
    </row>
    <row r="25" spans="2:18" x14ac:dyDescent="0.15">
      <c r="C25" s="364" t="s">
        <v>207</v>
      </c>
      <c r="D25" s="364"/>
      <c r="E25" s="364"/>
      <c r="F25" s="364"/>
      <c r="G25" s="364"/>
      <c r="H25" s="364"/>
      <c r="I25" s="364">
        <f>+I24</f>
        <v>8</v>
      </c>
      <c r="J25" s="364"/>
      <c r="K25" s="364">
        <f>+K24</f>
        <v>0</v>
      </c>
      <c r="L25" s="364"/>
      <c r="M25" s="364">
        <f>+M24</f>
        <v>0</v>
      </c>
      <c r="N25" s="364"/>
      <c r="O25" s="364">
        <f>+O24</f>
        <v>0</v>
      </c>
      <c r="P25" s="364"/>
      <c r="Q25" s="364">
        <f>+Q24</f>
        <v>0</v>
      </c>
      <c r="R25" s="364"/>
    </row>
    <row r="26" spans="2:18" x14ac:dyDescent="0.15">
      <c r="C26" s="365" t="s">
        <v>208</v>
      </c>
      <c r="D26" s="366"/>
      <c r="E26" s="366"/>
      <c r="F26" s="366"/>
      <c r="G26" s="366"/>
      <c r="H26" s="367"/>
      <c r="I26" s="364" t="str">
        <f>+IF(I25=1, "Moderado",IF(I25=2,"Moderado",IF(I25=3,"Moderado",IF(I25=4,"Moderado",IF(I25=5,"Moderado",IF(I25=6,"Mayor",IF(I25=7,"Mayor",IF(I25=8,"Mayor",IF(I25=9,"Mayor",IF(I25=10,"Mayor",IF(I25=11,"Mayor",IF(I25=12,"Catastrófico",IF(I25=13,"Catastrófico",IF(I25=14,"Catastrófico",IF(I25=15,"Catastrófico",IF(I25=16,"Catastrófico",IF(I25=17,"Catastrófico",IF(I25=18,"Catastrófico"))))))))))))))))))</f>
        <v>Mayor</v>
      </c>
      <c r="J26" s="364"/>
      <c r="K26" s="364" t="b">
        <f t="shared" ref="K26" si="1">+IF(K25=1, "Moderado",IF(K25=2,"Moderado",IF(K25=3,"Moderado",IF(K25=4,"Moderado",IF(K25=5,"Moderado",IF(K25=6,"Mayor",IF(K25=7,"Mayor",IF(K25=8,"Mayor",IF(K25=9,"Mayor",IF(K25=10,"Mayor",IF(K25=11,"Mayor",IF(K25=12,"Catastrófico",IF(K25=13,"Catastrófico",IF(K25=14,"Catastrófico",IF(K25=15,"Catastrófico",IF(K25=16,"Catastrófico",IF(K25=17,"Catastrófico",IF(K25=18,"Catastrófico"))))))))))))))))))</f>
        <v>0</v>
      </c>
      <c r="L26" s="364"/>
      <c r="M26" s="364" t="b">
        <f t="shared" ref="M26" si="2">+IF(M25=1, "Moderado",IF(M25=2,"Moderado",IF(M25=3,"Moderado",IF(M25=4,"Moderado",IF(M25=5,"Moderado",IF(M25=6,"Mayor",IF(M25=7,"Mayor",IF(M25=8,"Mayor",IF(M25=9,"Mayor",IF(M25=10,"Mayor",IF(M25=11,"Mayor",IF(M25=12,"Catastrófico",IF(M25=13,"Catastrófico",IF(M25=14,"Catastrófico",IF(M25=15,"Catastrófico",IF(M25=16,"Catastrófico",IF(M25=17,"Catastrófico",IF(M25=18,"Catastrófico"))))))))))))))))))</f>
        <v>0</v>
      </c>
      <c r="N26" s="364"/>
      <c r="O26" s="364" t="b">
        <f t="shared" ref="O26" si="3">+IF(O25=1, "Moderado",IF(O25=2,"Moderado",IF(O25=3,"Moderado",IF(O25=4,"Moderado",IF(O25=5,"Moderado",IF(O25=6,"Mayor",IF(O25=7,"Mayor",IF(O25=8,"Mayor",IF(O25=9,"Mayor",IF(O25=10,"Mayor",IF(O25=11,"Mayor",IF(O25=12,"Catastrófico",IF(O25=13,"Catastrófico",IF(O25=14,"Catastrófico",IF(O25=15,"Catastrófico",IF(O25=16,"Catastrófico",IF(O25=17,"Catastrófico",IF(O25=18,"Catastrófico"))))))))))))))))))</f>
        <v>0</v>
      </c>
      <c r="P26" s="364"/>
      <c r="Q26" s="364" t="b">
        <f t="shared" ref="Q26" si="4">+IF(Q25=1, "Moderado",IF(Q25=2,"Moderado",IF(Q25=3,"Moderado",IF(Q25=4,"Moderado",IF(Q25=5,"Moderado",IF(Q25=6,"Mayor",IF(Q25=7,"Mayor",IF(Q25=8,"Mayor",IF(Q25=9,"Mayor",IF(Q25=10,"Mayor",IF(Q25=11,"Mayor",IF(Q25=12,"Catastrófico",IF(Q25=13,"Catastrófico",IF(Q25=14,"Catastrófico",IF(Q25=15,"Catastrófico",IF(Q25=16,"Catastrófico",IF(Q25=17,"Catastrófico",IF(Q25=18,"Catastrófico"))))))))))))))))))</f>
        <v>0</v>
      </c>
      <c r="R26" s="364"/>
    </row>
    <row r="30" spans="2:18" x14ac:dyDescent="0.15">
      <c r="C30" s="360" t="s">
        <v>209</v>
      </c>
      <c r="D30" s="360"/>
      <c r="E30" s="360" t="s">
        <v>52</v>
      </c>
      <c r="F30" s="360"/>
    </row>
    <row r="31" spans="2:18" x14ac:dyDescent="0.15">
      <c r="C31" s="364" t="s">
        <v>210</v>
      </c>
      <c r="D31" s="364"/>
      <c r="E31" s="364" t="s">
        <v>68</v>
      </c>
      <c r="F31" s="364"/>
    </row>
    <row r="32" spans="2:18" x14ac:dyDescent="0.15">
      <c r="C32" s="364" t="s">
        <v>211</v>
      </c>
      <c r="D32" s="364"/>
      <c r="E32" s="364" t="s">
        <v>6</v>
      </c>
      <c r="F32" s="364"/>
    </row>
    <row r="33" spans="3:6" x14ac:dyDescent="0.15">
      <c r="C33" s="364" t="s">
        <v>216</v>
      </c>
      <c r="D33" s="364"/>
      <c r="E33" s="364" t="s">
        <v>212</v>
      </c>
      <c r="F33" s="364"/>
    </row>
    <row r="39" spans="3:6" x14ac:dyDescent="0.15">
      <c r="C39" s="112" t="s">
        <v>68</v>
      </c>
    </row>
    <row r="40" spans="3:6" x14ac:dyDescent="0.15">
      <c r="C40" s="112" t="s">
        <v>6</v>
      </c>
    </row>
    <row r="41" spans="3:6" x14ac:dyDescent="0.15">
      <c r="C41" s="112" t="s">
        <v>212</v>
      </c>
    </row>
  </sheetData>
  <mergeCells count="59">
    <mergeCell ref="B3:B4"/>
    <mergeCell ref="B2:H2"/>
    <mergeCell ref="C23:H23"/>
    <mergeCell ref="C33:D33"/>
    <mergeCell ref="E30:F30"/>
    <mergeCell ref="E31:F31"/>
    <mergeCell ref="E32:F32"/>
    <mergeCell ref="E33:F33"/>
    <mergeCell ref="C31:D31"/>
    <mergeCell ref="C32:D32"/>
    <mergeCell ref="C24:E24"/>
    <mergeCell ref="F24:H24"/>
    <mergeCell ref="C17:H17"/>
    <mergeCell ref="C19:H19"/>
    <mergeCell ref="C20:H20"/>
    <mergeCell ref="C21:H21"/>
    <mergeCell ref="I26:J26"/>
    <mergeCell ref="Q25:R25"/>
    <mergeCell ref="C25:H25"/>
    <mergeCell ref="C26:H26"/>
    <mergeCell ref="C30:D30"/>
    <mergeCell ref="K26:L26"/>
    <mergeCell ref="M26:N26"/>
    <mergeCell ref="O26:P26"/>
    <mergeCell ref="Q26:R26"/>
    <mergeCell ref="I25:J25"/>
    <mergeCell ref="K25:L25"/>
    <mergeCell ref="M25:N25"/>
    <mergeCell ref="O25:P25"/>
    <mergeCell ref="Q2:R2"/>
    <mergeCell ref="I1:J1"/>
    <mergeCell ref="K1:L1"/>
    <mergeCell ref="M1:N1"/>
    <mergeCell ref="O1:P1"/>
    <mergeCell ref="Q1:R1"/>
    <mergeCell ref="I2:J2"/>
    <mergeCell ref="K2:L2"/>
    <mergeCell ref="M2:N2"/>
    <mergeCell ref="O2:P2"/>
    <mergeCell ref="I3:J3"/>
    <mergeCell ref="K3:L3"/>
    <mergeCell ref="M3:N3"/>
    <mergeCell ref="O3:P3"/>
    <mergeCell ref="Q3:R3"/>
    <mergeCell ref="C22:H22"/>
    <mergeCell ref="C3:H4"/>
    <mergeCell ref="C18:H18"/>
    <mergeCell ref="C11:H11"/>
    <mergeCell ref="C12:H12"/>
    <mergeCell ref="C13:H13"/>
    <mergeCell ref="C14:H14"/>
    <mergeCell ref="C15:H15"/>
    <mergeCell ref="C16:H16"/>
    <mergeCell ref="C5:H5"/>
    <mergeCell ref="C6:H6"/>
    <mergeCell ref="C7:H7"/>
    <mergeCell ref="C8:H8"/>
    <mergeCell ref="C9:H9"/>
    <mergeCell ref="C10:H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7" tint="-0.249977111117893"/>
  </sheetPr>
  <dimension ref="B1:F16"/>
  <sheetViews>
    <sheetView topLeftCell="A3" workbookViewId="0">
      <selection activeCell="C9" sqref="C9:C10"/>
    </sheetView>
  </sheetViews>
  <sheetFormatPr baseColWidth="10" defaultColWidth="14.28515625" defaultRowHeight="12.75" x14ac:dyDescent="0.2"/>
  <cols>
    <col min="1" max="2" width="14.28515625" style="23"/>
    <col min="3" max="3" width="17" style="23" customWidth="1"/>
    <col min="4" max="4" width="14.28515625" style="23"/>
    <col min="5" max="5" width="46" style="23" customWidth="1"/>
    <col min="6" max="16384" width="14.28515625" style="23"/>
  </cols>
  <sheetData>
    <row r="1" spans="2:6" ht="24" customHeight="1" thickBot="1" x14ac:dyDescent="0.25">
      <c r="B1" s="370" t="s">
        <v>65</v>
      </c>
      <c r="C1" s="371"/>
      <c r="D1" s="371"/>
      <c r="E1" s="371"/>
      <c r="F1" s="372"/>
    </row>
    <row r="2" spans="2:6" ht="16.5" thickBot="1" x14ac:dyDescent="0.3">
      <c r="B2" s="24"/>
      <c r="C2" s="24"/>
      <c r="D2" s="24"/>
      <c r="E2" s="24"/>
      <c r="F2" s="24"/>
    </row>
    <row r="3" spans="2:6" ht="16.5" thickBot="1" x14ac:dyDescent="0.25">
      <c r="B3" s="374" t="s">
        <v>51</v>
      </c>
      <c r="C3" s="375"/>
      <c r="D3" s="375"/>
      <c r="E3" s="36" t="s">
        <v>52</v>
      </c>
      <c r="F3" s="37" t="s">
        <v>53</v>
      </c>
    </row>
    <row r="4" spans="2:6" ht="31.5" x14ac:dyDescent="0.2">
      <c r="B4" s="376" t="s">
        <v>54</v>
      </c>
      <c r="C4" s="378" t="s">
        <v>12</v>
      </c>
      <c r="D4" s="25" t="s">
        <v>13</v>
      </c>
      <c r="E4" s="26" t="s">
        <v>55</v>
      </c>
      <c r="F4" s="27">
        <v>0.25</v>
      </c>
    </row>
    <row r="5" spans="2:6" ht="47.25" x14ac:dyDescent="0.2">
      <c r="B5" s="377"/>
      <c r="C5" s="379"/>
      <c r="D5" s="28" t="s">
        <v>14</v>
      </c>
      <c r="E5" s="29" t="s">
        <v>56</v>
      </c>
      <c r="F5" s="30">
        <v>0.15</v>
      </c>
    </row>
    <row r="6" spans="2:6" ht="47.25" customHeight="1" x14ac:dyDescent="0.2">
      <c r="B6" s="377"/>
      <c r="C6" s="379"/>
      <c r="D6" s="28" t="s">
        <v>15</v>
      </c>
      <c r="E6" s="29" t="s">
        <v>57</v>
      </c>
      <c r="F6" s="30">
        <v>0.1</v>
      </c>
    </row>
    <row r="7" spans="2:6" ht="63" customHeight="1" x14ac:dyDescent="0.2">
      <c r="B7" s="377"/>
      <c r="C7" s="379" t="s">
        <v>16</v>
      </c>
      <c r="D7" s="28" t="s">
        <v>9</v>
      </c>
      <c r="E7" s="29" t="s">
        <v>58</v>
      </c>
      <c r="F7" s="30">
        <v>0.25</v>
      </c>
    </row>
    <row r="8" spans="2:6" ht="31.5" x14ac:dyDescent="0.2">
      <c r="B8" s="377"/>
      <c r="C8" s="379"/>
      <c r="D8" s="28" t="s">
        <v>8</v>
      </c>
      <c r="E8" s="29" t="s">
        <v>59</v>
      </c>
      <c r="F8" s="30">
        <v>0.15</v>
      </c>
    </row>
    <row r="9" spans="2:6" ht="47.25" x14ac:dyDescent="0.2">
      <c r="B9" s="377" t="s">
        <v>112</v>
      </c>
      <c r="C9" s="379" t="s">
        <v>17</v>
      </c>
      <c r="D9" s="28" t="s">
        <v>18</v>
      </c>
      <c r="E9" s="29" t="s">
        <v>60</v>
      </c>
      <c r="F9" s="31" t="s">
        <v>61</v>
      </c>
    </row>
    <row r="10" spans="2:6" ht="63" x14ac:dyDescent="0.2">
      <c r="B10" s="377"/>
      <c r="C10" s="379"/>
      <c r="D10" s="28" t="s">
        <v>19</v>
      </c>
      <c r="E10" s="29" t="s">
        <v>62</v>
      </c>
      <c r="F10" s="31" t="s">
        <v>61</v>
      </c>
    </row>
    <row r="11" spans="2:6" ht="47.25" x14ac:dyDescent="0.2">
      <c r="B11" s="377"/>
      <c r="C11" s="379" t="s">
        <v>20</v>
      </c>
      <c r="D11" s="28" t="s">
        <v>21</v>
      </c>
      <c r="E11" s="29" t="s">
        <v>63</v>
      </c>
      <c r="F11" s="31" t="s">
        <v>61</v>
      </c>
    </row>
    <row r="12" spans="2:6" ht="47.25" x14ac:dyDescent="0.2">
      <c r="B12" s="377"/>
      <c r="C12" s="379"/>
      <c r="D12" s="28" t="s">
        <v>22</v>
      </c>
      <c r="E12" s="29" t="s">
        <v>64</v>
      </c>
      <c r="F12" s="31" t="s">
        <v>61</v>
      </c>
    </row>
    <row r="13" spans="2:6" ht="31.5" x14ac:dyDescent="0.2">
      <c r="B13" s="377"/>
      <c r="C13" s="379" t="s">
        <v>23</v>
      </c>
      <c r="D13" s="28" t="s">
        <v>88</v>
      </c>
      <c r="E13" s="29" t="s">
        <v>91</v>
      </c>
      <c r="F13" s="31" t="s">
        <v>61</v>
      </c>
    </row>
    <row r="14" spans="2:6" ht="32.25" thickBot="1" x14ac:dyDescent="0.25">
      <c r="B14" s="380"/>
      <c r="C14" s="381"/>
      <c r="D14" s="32" t="s">
        <v>89</v>
      </c>
      <c r="E14" s="33" t="s">
        <v>90</v>
      </c>
      <c r="F14" s="34" t="s">
        <v>61</v>
      </c>
    </row>
    <row r="15" spans="2:6" ht="49.5" customHeight="1" x14ac:dyDescent="0.2">
      <c r="B15" s="373" t="s">
        <v>109</v>
      </c>
      <c r="C15" s="373"/>
      <c r="D15" s="373"/>
      <c r="E15" s="373"/>
      <c r="F15" s="373"/>
    </row>
    <row r="16" spans="2:6" ht="27" customHeight="1" x14ac:dyDescent="0.25">
      <c r="B16" s="3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8"/>
  <sheetViews>
    <sheetView workbookViewId="0">
      <selection activeCell="E14" sqref="E14"/>
    </sheetView>
  </sheetViews>
  <sheetFormatPr baseColWidth="10" defaultRowHeight="12.75" x14ac:dyDescent="0.2"/>
  <cols>
    <col min="1" max="1" width="11.42578125" style="56"/>
    <col min="2" max="2" width="9.5703125" style="56" customWidth="1"/>
    <col min="3" max="3" width="9.7109375" style="56" customWidth="1"/>
    <col min="4" max="4" width="16.140625" style="56" customWidth="1"/>
    <col min="5" max="5" width="35.85546875" style="56" customWidth="1"/>
    <col min="6" max="6" width="24" style="56" customWidth="1"/>
    <col min="7" max="7" width="9.28515625" style="56" customWidth="1"/>
    <col min="8" max="8" width="9.5703125" style="56" customWidth="1"/>
    <col min="9" max="257" width="11.42578125" style="56"/>
    <col min="258" max="258" width="9.5703125" style="56" customWidth="1"/>
    <col min="259" max="259" width="5.42578125" style="56" customWidth="1"/>
    <col min="260" max="260" width="16.140625" style="56" customWidth="1"/>
    <col min="261" max="261" width="35.85546875" style="56" customWidth="1"/>
    <col min="262" max="262" width="24" style="56" customWidth="1"/>
    <col min="263" max="263" width="9.28515625" style="56" customWidth="1"/>
    <col min="264" max="264" width="9.5703125" style="56" customWidth="1"/>
    <col min="265" max="513" width="11.42578125" style="56"/>
    <col min="514" max="514" width="9.5703125" style="56" customWidth="1"/>
    <col min="515" max="515" width="5.42578125" style="56" customWidth="1"/>
    <col min="516" max="516" width="16.140625" style="56" customWidth="1"/>
    <col min="517" max="517" width="35.85546875" style="56" customWidth="1"/>
    <col min="518" max="518" width="24" style="56" customWidth="1"/>
    <col min="519" max="519" width="9.28515625" style="56" customWidth="1"/>
    <col min="520" max="520" width="9.5703125" style="56" customWidth="1"/>
    <col min="521" max="769" width="11.42578125" style="56"/>
    <col min="770" max="770" width="9.5703125" style="56" customWidth="1"/>
    <col min="771" max="771" width="5.42578125" style="56" customWidth="1"/>
    <col min="772" max="772" width="16.140625" style="56" customWidth="1"/>
    <col min="773" max="773" width="35.85546875" style="56" customWidth="1"/>
    <col min="774" max="774" width="24" style="56" customWidth="1"/>
    <col min="775" max="775" width="9.28515625" style="56" customWidth="1"/>
    <col min="776" max="776" width="9.5703125" style="56" customWidth="1"/>
    <col min="777" max="1025" width="11.42578125" style="56"/>
    <col min="1026" max="1026" width="9.5703125" style="56" customWidth="1"/>
    <col min="1027" max="1027" width="5.42578125" style="56" customWidth="1"/>
    <col min="1028" max="1028" width="16.140625" style="56" customWidth="1"/>
    <col min="1029" max="1029" width="35.85546875" style="56" customWidth="1"/>
    <col min="1030" max="1030" width="24" style="56" customWidth="1"/>
    <col min="1031" max="1031" width="9.28515625" style="56" customWidth="1"/>
    <col min="1032" max="1032" width="9.5703125" style="56" customWidth="1"/>
    <col min="1033" max="1281" width="11.42578125" style="56"/>
    <col min="1282" max="1282" width="9.5703125" style="56" customWidth="1"/>
    <col min="1283" max="1283" width="5.42578125" style="56" customWidth="1"/>
    <col min="1284" max="1284" width="16.140625" style="56" customWidth="1"/>
    <col min="1285" max="1285" width="35.85546875" style="56" customWidth="1"/>
    <col min="1286" max="1286" width="24" style="56" customWidth="1"/>
    <col min="1287" max="1287" width="9.28515625" style="56" customWidth="1"/>
    <col min="1288" max="1288" width="9.5703125" style="56" customWidth="1"/>
    <col min="1289" max="1537" width="11.42578125" style="56"/>
    <col min="1538" max="1538" width="9.5703125" style="56" customWidth="1"/>
    <col min="1539" max="1539" width="5.42578125" style="56" customWidth="1"/>
    <col min="1540" max="1540" width="16.140625" style="56" customWidth="1"/>
    <col min="1541" max="1541" width="35.85546875" style="56" customWidth="1"/>
    <col min="1542" max="1542" width="24" style="56" customWidth="1"/>
    <col min="1543" max="1543" width="9.28515625" style="56" customWidth="1"/>
    <col min="1544" max="1544" width="9.5703125" style="56" customWidth="1"/>
    <col min="1545" max="1793" width="11.42578125" style="56"/>
    <col min="1794" max="1794" width="9.5703125" style="56" customWidth="1"/>
    <col min="1795" max="1795" width="5.42578125" style="56" customWidth="1"/>
    <col min="1796" max="1796" width="16.140625" style="56" customWidth="1"/>
    <col min="1797" max="1797" width="35.85546875" style="56" customWidth="1"/>
    <col min="1798" max="1798" width="24" style="56" customWidth="1"/>
    <col min="1799" max="1799" width="9.28515625" style="56" customWidth="1"/>
    <col min="1800" max="1800" width="9.5703125" style="56" customWidth="1"/>
    <col min="1801" max="2049" width="11.42578125" style="56"/>
    <col min="2050" max="2050" width="9.5703125" style="56" customWidth="1"/>
    <col min="2051" max="2051" width="5.42578125" style="56" customWidth="1"/>
    <col min="2052" max="2052" width="16.140625" style="56" customWidth="1"/>
    <col min="2053" max="2053" width="35.85546875" style="56" customWidth="1"/>
    <col min="2054" max="2054" width="24" style="56" customWidth="1"/>
    <col min="2055" max="2055" width="9.28515625" style="56" customWidth="1"/>
    <col min="2056" max="2056" width="9.5703125" style="56" customWidth="1"/>
    <col min="2057" max="2305" width="11.42578125" style="56"/>
    <col min="2306" max="2306" width="9.5703125" style="56" customWidth="1"/>
    <col min="2307" max="2307" width="5.42578125" style="56" customWidth="1"/>
    <col min="2308" max="2308" width="16.140625" style="56" customWidth="1"/>
    <col min="2309" max="2309" width="35.85546875" style="56" customWidth="1"/>
    <col min="2310" max="2310" width="24" style="56" customWidth="1"/>
    <col min="2311" max="2311" width="9.28515625" style="56" customWidth="1"/>
    <col min="2312" max="2312" width="9.5703125" style="56" customWidth="1"/>
    <col min="2313" max="2561" width="11.42578125" style="56"/>
    <col min="2562" max="2562" width="9.5703125" style="56" customWidth="1"/>
    <col min="2563" max="2563" width="5.42578125" style="56" customWidth="1"/>
    <col min="2564" max="2564" width="16.140625" style="56" customWidth="1"/>
    <col min="2565" max="2565" width="35.85546875" style="56" customWidth="1"/>
    <col min="2566" max="2566" width="24" style="56" customWidth="1"/>
    <col min="2567" max="2567" width="9.28515625" style="56" customWidth="1"/>
    <col min="2568" max="2568" width="9.5703125" style="56" customWidth="1"/>
    <col min="2569" max="2817" width="11.42578125" style="56"/>
    <col min="2818" max="2818" width="9.5703125" style="56" customWidth="1"/>
    <col min="2819" max="2819" width="5.42578125" style="56" customWidth="1"/>
    <col min="2820" max="2820" width="16.140625" style="56" customWidth="1"/>
    <col min="2821" max="2821" width="35.85546875" style="56" customWidth="1"/>
    <col min="2822" max="2822" width="24" style="56" customWidth="1"/>
    <col min="2823" max="2823" width="9.28515625" style="56" customWidth="1"/>
    <col min="2824" max="2824" width="9.5703125" style="56" customWidth="1"/>
    <col min="2825" max="3073" width="11.42578125" style="56"/>
    <col min="3074" max="3074" width="9.5703125" style="56" customWidth="1"/>
    <col min="3075" max="3075" width="5.42578125" style="56" customWidth="1"/>
    <col min="3076" max="3076" width="16.140625" style="56" customWidth="1"/>
    <col min="3077" max="3077" width="35.85546875" style="56" customWidth="1"/>
    <col min="3078" max="3078" width="24" style="56" customWidth="1"/>
    <col min="3079" max="3079" width="9.28515625" style="56" customWidth="1"/>
    <col min="3080" max="3080" width="9.5703125" style="56" customWidth="1"/>
    <col min="3081" max="3329" width="11.42578125" style="56"/>
    <col min="3330" max="3330" width="9.5703125" style="56" customWidth="1"/>
    <col min="3331" max="3331" width="5.42578125" style="56" customWidth="1"/>
    <col min="3332" max="3332" width="16.140625" style="56" customWidth="1"/>
    <col min="3333" max="3333" width="35.85546875" style="56" customWidth="1"/>
    <col min="3334" max="3334" width="24" style="56" customWidth="1"/>
    <col min="3335" max="3335" width="9.28515625" style="56" customWidth="1"/>
    <col min="3336" max="3336" width="9.5703125" style="56" customWidth="1"/>
    <col min="3337" max="3585" width="11.42578125" style="56"/>
    <col min="3586" max="3586" width="9.5703125" style="56" customWidth="1"/>
    <col min="3587" max="3587" width="5.42578125" style="56" customWidth="1"/>
    <col min="3588" max="3588" width="16.140625" style="56" customWidth="1"/>
    <col min="3589" max="3589" width="35.85546875" style="56" customWidth="1"/>
    <col min="3590" max="3590" width="24" style="56" customWidth="1"/>
    <col min="3591" max="3591" width="9.28515625" style="56" customWidth="1"/>
    <col min="3592" max="3592" width="9.5703125" style="56" customWidth="1"/>
    <col min="3593" max="3841" width="11.42578125" style="56"/>
    <col min="3842" max="3842" width="9.5703125" style="56" customWidth="1"/>
    <col min="3843" max="3843" width="5.42578125" style="56" customWidth="1"/>
    <col min="3844" max="3844" width="16.140625" style="56" customWidth="1"/>
    <col min="3845" max="3845" width="35.85546875" style="56" customWidth="1"/>
    <col min="3846" max="3846" width="24" style="56" customWidth="1"/>
    <col min="3847" max="3847" width="9.28515625" style="56" customWidth="1"/>
    <col min="3848" max="3848" width="9.5703125" style="56" customWidth="1"/>
    <col min="3849" max="4097" width="11.42578125" style="56"/>
    <col min="4098" max="4098" width="9.5703125" style="56" customWidth="1"/>
    <col min="4099" max="4099" width="5.42578125" style="56" customWidth="1"/>
    <col min="4100" max="4100" width="16.140625" style="56" customWidth="1"/>
    <col min="4101" max="4101" width="35.85546875" style="56" customWidth="1"/>
    <col min="4102" max="4102" width="24" style="56" customWidth="1"/>
    <col min="4103" max="4103" width="9.28515625" style="56" customWidth="1"/>
    <col min="4104" max="4104" width="9.5703125" style="56" customWidth="1"/>
    <col min="4105" max="4353" width="11.42578125" style="56"/>
    <col min="4354" max="4354" width="9.5703125" style="56" customWidth="1"/>
    <col min="4355" max="4355" width="5.42578125" style="56" customWidth="1"/>
    <col min="4356" max="4356" width="16.140625" style="56" customWidth="1"/>
    <col min="4357" max="4357" width="35.85546875" style="56" customWidth="1"/>
    <col min="4358" max="4358" width="24" style="56" customWidth="1"/>
    <col min="4359" max="4359" width="9.28515625" style="56" customWidth="1"/>
    <col min="4360" max="4360" width="9.5703125" style="56" customWidth="1"/>
    <col min="4361" max="4609" width="11.42578125" style="56"/>
    <col min="4610" max="4610" width="9.5703125" style="56" customWidth="1"/>
    <col min="4611" max="4611" width="5.42578125" style="56" customWidth="1"/>
    <col min="4612" max="4612" width="16.140625" style="56" customWidth="1"/>
    <col min="4613" max="4613" width="35.85546875" style="56" customWidth="1"/>
    <col min="4614" max="4614" width="24" style="56" customWidth="1"/>
    <col min="4615" max="4615" width="9.28515625" style="56" customWidth="1"/>
    <col min="4616" max="4616" width="9.5703125" style="56" customWidth="1"/>
    <col min="4617" max="4865" width="11.42578125" style="56"/>
    <col min="4866" max="4866" width="9.5703125" style="56" customWidth="1"/>
    <col min="4867" max="4867" width="5.42578125" style="56" customWidth="1"/>
    <col min="4868" max="4868" width="16.140625" style="56" customWidth="1"/>
    <col min="4869" max="4869" width="35.85546875" style="56" customWidth="1"/>
    <col min="4870" max="4870" width="24" style="56" customWidth="1"/>
    <col min="4871" max="4871" width="9.28515625" style="56" customWidth="1"/>
    <col min="4872" max="4872" width="9.5703125" style="56" customWidth="1"/>
    <col min="4873" max="5121" width="11.42578125" style="56"/>
    <col min="5122" max="5122" width="9.5703125" style="56" customWidth="1"/>
    <col min="5123" max="5123" width="5.42578125" style="56" customWidth="1"/>
    <col min="5124" max="5124" width="16.140625" style="56" customWidth="1"/>
    <col min="5125" max="5125" width="35.85546875" style="56" customWidth="1"/>
    <col min="5126" max="5126" width="24" style="56" customWidth="1"/>
    <col min="5127" max="5127" width="9.28515625" style="56" customWidth="1"/>
    <col min="5128" max="5128" width="9.5703125" style="56" customWidth="1"/>
    <col min="5129" max="5377" width="11.42578125" style="56"/>
    <col min="5378" max="5378" width="9.5703125" style="56" customWidth="1"/>
    <col min="5379" max="5379" width="5.42578125" style="56" customWidth="1"/>
    <col min="5380" max="5380" width="16.140625" style="56" customWidth="1"/>
    <col min="5381" max="5381" width="35.85546875" style="56" customWidth="1"/>
    <col min="5382" max="5382" width="24" style="56" customWidth="1"/>
    <col min="5383" max="5383" width="9.28515625" style="56" customWidth="1"/>
    <col min="5384" max="5384" width="9.5703125" style="56" customWidth="1"/>
    <col min="5385" max="5633" width="11.42578125" style="56"/>
    <col min="5634" max="5634" width="9.5703125" style="56" customWidth="1"/>
    <col min="5635" max="5635" width="5.42578125" style="56" customWidth="1"/>
    <col min="5636" max="5636" width="16.140625" style="56" customWidth="1"/>
    <col min="5637" max="5637" width="35.85546875" style="56" customWidth="1"/>
    <col min="5638" max="5638" width="24" style="56" customWidth="1"/>
    <col min="5639" max="5639" width="9.28515625" style="56" customWidth="1"/>
    <col min="5640" max="5640" width="9.5703125" style="56" customWidth="1"/>
    <col min="5641" max="5889" width="11.42578125" style="56"/>
    <col min="5890" max="5890" width="9.5703125" style="56" customWidth="1"/>
    <col min="5891" max="5891" width="5.42578125" style="56" customWidth="1"/>
    <col min="5892" max="5892" width="16.140625" style="56" customWidth="1"/>
    <col min="5893" max="5893" width="35.85546875" style="56" customWidth="1"/>
    <col min="5894" max="5894" width="24" style="56" customWidth="1"/>
    <col min="5895" max="5895" width="9.28515625" style="56" customWidth="1"/>
    <col min="5896" max="5896" width="9.5703125" style="56" customWidth="1"/>
    <col min="5897" max="6145" width="11.42578125" style="56"/>
    <col min="6146" max="6146" width="9.5703125" style="56" customWidth="1"/>
    <col min="6147" max="6147" width="5.42578125" style="56" customWidth="1"/>
    <col min="6148" max="6148" width="16.140625" style="56" customWidth="1"/>
    <col min="6149" max="6149" width="35.85546875" style="56" customWidth="1"/>
    <col min="6150" max="6150" width="24" style="56" customWidth="1"/>
    <col min="6151" max="6151" width="9.28515625" style="56" customWidth="1"/>
    <col min="6152" max="6152" width="9.5703125" style="56" customWidth="1"/>
    <col min="6153" max="6401" width="11.42578125" style="56"/>
    <col min="6402" max="6402" width="9.5703125" style="56" customWidth="1"/>
    <col min="6403" max="6403" width="5.42578125" style="56" customWidth="1"/>
    <col min="6404" max="6404" width="16.140625" style="56" customWidth="1"/>
    <col min="6405" max="6405" width="35.85546875" style="56" customWidth="1"/>
    <col min="6406" max="6406" width="24" style="56" customWidth="1"/>
    <col min="6407" max="6407" width="9.28515625" style="56" customWidth="1"/>
    <col min="6408" max="6408" width="9.5703125" style="56" customWidth="1"/>
    <col min="6409" max="6657" width="11.42578125" style="56"/>
    <col min="6658" max="6658" width="9.5703125" style="56" customWidth="1"/>
    <col min="6659" max="6659" width="5.42578125" style="56" customWidth="1"/>
    <col min="6660" max="6660" width="16.140625" style="56" customWidth="1"/>
    <col min="6661" max="6661" width="35.85546875" style="56" customWidth="1"/>
    <col min="6662" max="6662" width="24" style="56" customWidth="1"/>
    <col min="6663" max="6663" width="9.28515625" style="56" customWidth="1"/>
    <col min="6664" max="6664" width="9.5703125" style="56" customWidth="1"/>
    <col min="6665" max="6913" width="11.42578125" style="56"/>
    <col min="6914" max="6914" width="9.5703125" style="56" customWidth="1"/>
    <col min="6915" max="6915" width="5.42578125" style="56" customWidth="1"/>
    <col min="6916" max="6916" width="16.140625" style="56" customWidth="1"/>
    <col min="6917" max="6917" width="35.85546875" style="56" customWidth="1"/>
    <col min="6918" max="6918" width="24" style="56" customWidth="1"/>
    <col min="6919" max="6919" width="9.28515625" style="56" customWidth="1"/>
    <col min="6920" max="6920" width="9.5703125" style="56" customWidth="1"/>
    <col min="6921" max="7169" width="11.42578125" style="56"/>
    <col min="7170" max="7170" width="9.5703125" style="56" customWidth="1"/>
    <col min="7171" max="7171" width="5.42578125" style="56" customWidth="1"/>
    <col min="7172" max="7172" width="16.140625" style="56" customWidth="1"/>
    <col min="7173" max="7173" width="35.85546875" style="56" customWidth="1"/>
    <col min="7174" max="7174" width="24" style="56" customWidth="1"/>
    <col min="7175" max="7175" width="9.28515625" style="56" customWidth="1"/>
    <col min="7176" max="7176" width="9.5703125" style="56" customWidth="1"/>
    <col min="7177" max="7425" width="11.42578125" style="56"/>
    <col min="7426" max="7426" width="9.5703125" style="56" customWidth="1"/>
    <col min="7427" max="7427" width="5.42578125" style="56" customWidth="1"/>
    <col min="7428" max="7428" width="16.140625" style="56" customWidth="1"/>
    <col min="7429" max="7429" width="35.85546875" style="56" customWidth="1"/>
    <col min="7430" max="7430" width="24" style="56" customWidth="1"/>
    <col min="7431" max="7431" width="9.28515625" style="56" customWidth="1"/>
    <col min="7432" max="7432" width="9.5703125" style="56" customWidth="1"/>
    <col min="7433" max="7681" width="11.42578125" style="56"/>
    <col min="7682" max="7682" width="9.5703125" style="56" customWidth="1"/>
    <col min="7683" max="7683" width="5.42578125" style="56" customWidth="1"/>
    <col min="7684" max="7684" width="16.140625" style="56" customWidth="1"/>
    <col min="7685" max="7685" width="35.85546875" style="56" customWidth="1"/>
    <col min="7686" max="7686" width="24" style="56" customWidth="1"/>
    <col min="7687" max="7687" width="9.28515625" style="56" customWidth="1"/>
    <col min="7688" max="7688" width="9.5703125" style="56" customWidth="1"/>
    <col min="7689" max="7937" width="11.42578125" style="56"/>
    <col min="7938" max="7938" width="9.5703125" style="56" customWidth="1"/>
    <col min="7939" max="7939" width="5.42578125" style="56" customWidth="1"/>
    <col min="7940" max="7940" width="16.140625" style="56" customWidth="1"/>
    <col min="7941" max="7941" width="35.85546875" style="56" customWidth="1"/>
    <col min="7942" max="7942" width="24" style="56" customWidth="1"/>
    <col min="7943" max="7943" width="9.28515625" style="56" customWidth="1"/>
    <col min="7944" max="7944" width="9.5703125" style="56" customWidth="1"/>
    <col min="7945" max="8193" width="11.42578125" style="56"/>
    <col min="8194" max="8194" width="9.5703125" style="56" customWidth="1"/>
    <col min="8195" max="8195" width="5.42578125" style="56" customWidth="1"/>
    <col min="8196" max="8196" width="16.140625" style="56" customWidth="1"/>
    <col min="8197" max="8197" width="35.85546875" style="56" customWidth="1"/>
    <col min="8198" max="8198" width="24" style="56" customWidth="1"/>
    <col min="8199" max="8199" width="9.28515625" style="56" customWidth="1"/>
    <col min="8200" max="8200" width="9.5703125" style="56" customWidth="1"/>
    <col min="8201" max="8449" width="11.42578125" style="56"/>
    <col min="8450" max="8450" width="9.5703125" style="56" customWidth="1"/>
    <col min="8451" max="8451" width="5.42578125" style="56" customWidth="1"/>
    <col min="8452" max="8452" width="16.140625" style="56" customWidth="1"/>
    <col min="8453" max="8453" width="35.85546875" style="56" customWidth="1"/>
    <col min="8454" max="8454" width="24" style="56" customWidth="1"/>
    <col min="8455" max="8455" width="9.28515625" style="56" customWidth="1"/>
    <col min="8456" max="8456" width="9.5703125" style="56" customWidth="1"/>
    <col min="8457" max="8705" width="11.42578125" style="56"/>
    <col min="8706" max="8706" width="9.5703125" style="56" customWidth="1"/>
    <col min="8707" max="8707" width="5.42578125" style="56" customWidth="1"/>
    <col min="8708" max="8708" width="16.140625" style="56" customWidth="1"/>
    <col min="8709" max="8709" width="35.85546875" style="56" customWidth="1"/>
    <col min="8710" max="8710" width="24" style="56" customWidth="1"/>
    <col min="8711" max="8711" width="9.28515625" style="56" customWidth="1"/>
    <col min="8712" max="8712" width="9.5703125" style="56" customWidth="1"/>
    <col min="8713" max="8961" width="11.42578125" style="56"/>
    <col min="8962" max="8962" width="9.5703125" style="56" customWidth="1"/>
    <col min="8963" max="8963" width="5.42578125" style="56" customWidth="1"/>
    <col min="8964" max="8964" width="16.140625" style="56" customWidth="1"/>
    <col min="8965" max="8965" width="35.85546875" style="56" customWidth="1"/>
    <col min="8966" max="8966" width="24" style="56" customWidth="1"/>
    <col min="8967" max="8967" width="9.28515625" style="56" customWidth="1"/>
    <col min="8968" max="8968" width="9.5703125" style="56" customWidth="1"/>
    <col min="8969" max="9217" width="11.42578125" style="56"/>
    <col min="9218" max="9218" width="9.5703125" style="56" customWidth="1"/>
    <col min="9219" max="9219" width="5.42578125" style="56" customWidth="1"/>
    <col min="9220" max="9220" width="16.140625" style="56" customWidth="1"/>
    <col min="9221" max="9221" width="35.85546875" style="56" customWidth="1"/>
    <col min="9222" max="9222" width="24" style="56" customWidth="1"/>
    <col min="9223" max="9223" width="9.28515625" style="56" customWidth="1"/>
    <col min="9224" max="9224" width="9.5703125" style="56" customWidth="1"/>
    <col min="9225" max="9473" width="11.42578125" style="56"/>
    <col min="9474" max="9474" width="9.5703125" style="56" customWidth="1"/>
    <col min="9475" max="9475" width="5.42578125" style="56" customWidth="1"/>
    <col min="9476" max="9476" width="16.140625" style="56" customWidth="1"/>
    <col min="9477" max="9477" width="35.85546875" style="56" customWidth="1"/>
    <col min="9478" max="9478" width="24" style="56" customWidth="1"/>
    <col min="9479" max="9479" width="9.28515625" style="56" customWidth="1"/>
    <col min="9480" max="9480" width="9.5703125" style="56" customWidth="1"/>
    <col min="9481" max="9729" width="11.42578125" style="56"/>
    <col min="9730" max="9730" width="9.5703125" style="56" customWidth="1"/>
    <col min="9731" max="9731" width="5.42578125" style="56" customWidth="1"/>
    <col min="9732" max="9732" width="16.140625" style="56" customWidth="1"/>
    <col min="9733" max="9733" width="35.85546875" style="56" customWidth="1"/>
    <col min="9734" max="9734" width="24" style="56" customWidth="1"/>
    <col min="9735" max="9735" width="9.28515625" style="56" customWidth="1"/>
    <col min="9736" max="9736" width="9.5703125" style="56" customWidth="1"/>
    <col min="9737" max="9985" width="11.42578125" style="56"/>
    <col min="9986" max="9986" width="9.5703125" style="56" customWidth="1"/>
    <col min="9987" max="9987" width="5.42578125" style="56" customWidth="1"/>
    <col min="9988" max="9988" width="16.140625" style="56" customWidth="1"/>
    <col min="9989" max="9989" width="35.85546875" style="56" customWidth="1"/>
    <col min="9990" max="9990" width="24" style="56" customWidth="1"/>
    <col min="9991" max="9991" width="9.28515625" style="56" customWidth="1"/>
    <col min="9992" max="9992" width="9.5703125" style="56" customWidth="1"/>
    <col min="9993" max="10241" width="11.42578125" style="56"/>
    <col min="10242" max="10242" width="9.5703125" style="56" customWidth="1"/>
    <col min="10243" max="10243" width="5.42578125" style="56" customWidth="1"/>
    <col min="10244" max="10244" width="16.140625" style="56" customWidth="1"/>
    <col min="10245" max="10245" width="35.85546875" style="56" customWidth="1"/>
    <col min="10246" max="10246" width="24" style="56" customWidth="1"/>
    <col min="10247" max="10247" width="9.28515625" style="56" customWidth="1"/>
    <col min="10248" max="10248" width="9.5703125" style="56" customWidth="1"/>
    <col min="10249" max="10497" width="11.42578125" style="56"/>
    <col min="10498" max="10498" width="9.5703125" style="56" customWidth="1"/>
    <col min="10499" max="10499" width="5.42578125" style="56" customWidth="1"/>
    <col min="10500" max="10500" width="16.140625" style="56" customWidth="1"/>
    <col min="10501" max="10501" width="35.85546875" style="56" customWidth="1"/>
    <col min="10502" max="10502" width="24" style="56" customWidth="1"/>
    <col min="10503" max="10503" width="9.28515625" style="56" customWidth="1"/>
    <col min="10504" max="10504" width="9.5703125" style="56" customWidth="1"/>
    <col min="10505" max="10753" width="11.42578125" style="56"/>
    <col min="10754" max="10754" width="9.5703125" style="56" customWidth="1"/>
    <col min="10755" max="10755" width="5.42578125" style="56" customWidth="1"/>
    <col min="10756" max="10756" width="16.140625" style="56" customWidth="1"/>
    <col min="10757" max="10757" width="35.85546875" style="56" customWidth="1"/>
    <col min="10758" max="10758" width="24" style="56" customWidth="1"/>
    <col min="10759" max="10759" width="9.28515625" style="56" customWidth="1"/>
    <col min="10760" max="10760" width="9.5703125" style="56" customWidth="1"/>
    <col min="10761" max="11009" width="11.42578125" style="56"/>
    <col min="11010" max="11010" width="9.5703125" style="56" customWidth="1"/>
    <col min="11011" max="11011" width="5.42578125" style="56" customWidth="1"/>
    <col min="11012" max="11012" width="16.140625" style="56" customWidth="1"/>
    <col min="11013" max="11013" width="35.85546875" style="56" customWidth="1"/>
    <col min="11014" max="11014" width="24" style="56" customWidth="1"/>
    <col min="11015" max="11015" width="9.28515625" style="56" customWidth="1"/>
    <col min="11016" max="11016" width="9.5703125" style="56" customWidth="1"/>
    <col min="11017" max="11265" width="11.42578125" style="56"/>
    <col min="11266" max="11266" width="9.5703125" style="56" customWidth="1"/>
    <col min="11267" max="11267" width="5.42578125" style="56" customWidth="1"/>
    <col min="11268" max="11268" width="16.140625" style="56" customWidth="1"/>
    <col min="11269" max="11269" width="35.85546875" style="56" customWidth="1"/>
    <col min="11270" max="11270" width="24" style="56" customWidth="1"/>
    <col min="11271" max="11271" width="9.28515625" style="56" customWidth="1"/>
    <col min="11272" max="11272" width="9.5703125" style="56" customWidth="1"/>
    <col min="11273" max="11521" width="11.42578125" style="56"/>
    <col min="11522" max="11522" width="9.5703125" style="56" customWidth="1"/>
    <col min="11523" max="11523" width="5.42578125" style="56" customWidth="1"/>
    <col min="11524" max="11524" width="16.140625" style="56" customWidth="1"/>
    <col min="11525" max="11525" width="35.85546875" style="56" customWidth="1"/>
    <col min="11526" max="11526" width="24" style="56" customWidth="1"/>
    <col min="11527" max="11527" width="9.28515625" style="56" customWidth="1"/>
    <col min="11528" max="11528" width="9.5703125" style="56" customWidth="1"/>
    <col min="11529" max="11777" width="11.42578125" style="56"/>
    <col min="11778" max="11778" width="9.5703125" style="56" customWidth="1"/>
    <col min="11779" max="11779" width="5.42578125" style="56" customWidth="1"/>
    <col min="11780" max="11780" width="16.140625" style="56" customWidth="1"/>
    <col min="11781" max="11781" width="35.85546875" style="56" customWidth="1"/>
    <col min="11782" max="11782" width="24" style="56" customWidth="1"/>
    <col min="11783" max="11783" width="9.28515625" style="56" customWidth="1"/>
    <col min="11784" max="11784" width="9.5703125" style="56" customWidth="1"/>
    <col min="11785" max="12033" width="11.42578125" style="56"/>
    <col min="12034" max="12034" width="9.5703125" style="56" customWidth="1"/>
    <col min="12035" max="12035" width="5.42578125" style="56" customWidth="1"/>
    <col min="12036" max="12036" width="16.140625" style="56" customWidth="1"/>
    <col min="12037" max="12037" width="35.85546875" style="56" customWidth="1"/>
    <col min="12038" max="12038" width="24" style="56" customWidth="1"/>
    <col min="12039" max="12039" width="9.28515625" style="56" customWidth="1"/>
    <col min="12040" max="12040" width="9.5703125" style="56" customWidth="1"/>
    <col min="12041" max="12289" width="11.42578125" style="56"/>
    <col min="12290" max="12290" width="9.5703125" style="56" customWidth="1"/>
    <col min="12291" max="12291" width="5.42578125" style="56" customWidth="1"/>
    <col min="12292" max="12292" width="16.140625" style="56" customWidth="1"/>
    <col min="12293" max="12293" width="35.85546875" style="56" customWidth="1"/>
    <col min="12294" max="12294" width="24" style="56" customWidth="1"/>
    <col min="12295" max="12295" width="9.28515625" style="56" customWidth="1"/>
    <col min="12296" max="12296" width="9.5703125" style="56" customWidth="1"/>
    <col min="12297" max="12545" width="11.42578125" style="56"/>
    <col min="12546" max="12546" width="9.5703125" style="56" customWidth="1"/>
    <col min="12547" max="12547" width="5.42578125" style="56" customWidth="1"/>
    <col min="12548" max="12548" width="16.140625" style="56" customWidth="1"/>
    <col min="12549" max="12549" width="35.85546875" style="56" customWidth="1"/>
    <col min="12550" max="12550" width="24" style="56" customWidth="1"/>
    <col min="12551" max="12551" width="9.28515625" style="56" customWidth="1"/>
    <col min="12552" max="12552" width="9.5703125" style="56" customWidth="1"/>
    <col min="12553" max="12801" width="11.42578125" style="56"/>
    <col min="12802" max="12802" width="9.5703125" style="56" customWidth="1"/>
    <col min="12803" max="12803" width="5.42578125" style="56" customWidth="1"/>
    <col min="12804" max="12804" width="16.140625" style="56" customWidth="1"/>
    <col min="12805" max="12805" width="35.85546875" style="56" customWidth="1"/>
    <col min="12806" max="12806" width="24" style="56" customWidth="1"/>
    <col min="12807" max="12807" width="9.28515625" style="56" customWidth="1"/>
    <col min="12808" max="12808" width="9.5703125" style="56" customWidth="1"/>
    <col min="12809" max="13057" width="11.42578125" style="56"/>
    <col min="13058" max="13058" width="9.5703125" style="56" customWidth="1"/>
    <col min="13059" max="13059" width="5.42578125" style="56" customWidth="1"/>
    <col min="13060" max="13060" width="16.140625" style="56" customWidth="1"/>
    <col min="13061" max="13061" width="35.85546875" style="56" customWidth="1"/>
    <col min="13062" max="13062" width="24" style="56" customWidth="1"/>
    <col min="13063" max="13063" width="9.28515625" style="56" customWidth="1"/>
    <col min="13064" max="13064" width="9.5703125" style="56" customWidth="1"/>
    <col min="13065" max="13313" width="11.42578125" style="56"/>
    <col min="13314" max="13314" width="9.5703125" style="56" customWidth="1"/>
    <col min="13315" max="13315" width="5.42578125" style="56" customWidth="1"/>
    <col min="13316" max="13316" width="16.140625" style="56" customWidth="1"/>
    <col min="13317" max="13317" width="35.85546875" style="56" customWidth="1"/>
    <col min="13318" max="13318" width="24" style="56" customWidth="1"/>
    <col min="13319" max="13319" width="9.28515625" style="56" customWidth="1"/>
    <col min="13320" max="13320" width="9.5703125" style="56" customWidth="1"/>
    <col min="13321" max="13569" width="11.42578125" style="56"/>
    <col min="13570" max="13570" width="9.5703125" style="56" customWidth="1"/>
    <col min="13571" max="13571" width="5.42578125" style="56" customWidth="1"/>
    <col min="13572" max="13572" width="16.140625" style="56" customWidth="1"/>
    <col min="13573" max="13573" width="35.85546875" style="56" customWidth="1"/>
    <col min="13574" max="13574" width="24" style="56" customWidth="1"/>
    <col min="13575" max="13575" width="9.28515625" style="56" customWidth="1"/>
    <col min="13576" max="13576" width="9.5703125" style="56" customWidth="1"/>
    <col min="13577" max="13825" width="11.42578125" style="56"/>
    <col min="13826" max="13826" width="9.5703125" style="56" customWidth="1"/>
    <col min="13827" max="13827" width="5.42578125" style="56" customWidth="1"/>
    <col min="13828" max="13828" width="16.140625" style="56" customWidth="1"/>
    <col min="13829" max="13829" width="35.85546875" style="56" customWidth="1"/>
    <col min="13830" max="13830" width="24" style="56" customWidth="1"/>
    <col min="13831" max="13831" width="9.28515625" style="56" customWidth="1"/>
    <col min="13832" max="13832" width="9.5703125" style="56" customWidth="1"/>
    <col min="13833" max="14081" width="11.42578125" style="56"/>
    <col min="14082" max="14082" width="9.5703125" style="56" customWidth="1"/>
    <col min="14083" max="14083" width="5.42578125" style="56" customWidth="1"/>
    <col min="14084" max="14084" width="16.140625" style="56" customWidth="1"/>
    <col min="14085" max="14085" width="35.85546875" style="56" customWidth="1"/>
    <col min="14086" max="14086" width="24" style="56" customWidth="1"/>
    <col min="14087" max="14087" width="9.28515625" style="56" customWidth="1"/>
    <col min="14088" max="14088" width="9.5703125" style="56" customWidth="1"/>
    <col min="14089" max="14337" width="11.42578125" style="56"/>
    <col min="14338" max="14338" width="9.5703125" style="56" customWidth="1"/>
    <col min="14339" max="14339" width="5.42578125" style="56" customWidth="1"/>
    <col min="14340" max="14340" width="16.140625" style="56" customWidth="1"/>
    <col min="14341" max="14341" width="35.85546875" style="56" customWidth="1"/>
    <col min="14342" max="14342" width="24" style="56" customWidth="1"/>
    <col min="14343" max="14343" width="9.28515625" style="56" customWidth="1"/>
    <col min="14344" max="14344" width="9.5703125" style="56" customWidth="1"/>
    <col min="14345" max="14593" width="11.42578125" style="56"/>
    <col min="14594" max="14594" width="9.5703125" style="56" customWidth="1"/>
    <col min="14595" max="14595" width="5.42578125" style="56" customWidth="1"/>
    <col min="14596" max="14596" width="16.140625" style="56" customWidth="1"/>
    <col min="14597" max="14597" width="35.85546875" style="56" customWidth="1"/>
    <col min="14598" max="14598" width="24" style="56" customWidth="1"/>
    <col min="14599" max="14599" width="9.28515625" style="56" customWidth="1"/>
    <col min="14600" max="14600" width="9.5703125" style="56" customWidth="1"/>
    <col min="14601" max="14849" width="11.42578125" style="56"/>
    <col min="14850" max="14850" width="9.5703125" style="56" customWidth="1"/>
    <col min="14851" max="14851" width="5.42578125" style="56" customWidth="1"/>
    <col min="14852" max="14852" width="16.140625" style="56" customWidth="1"/>
    <col min="14853" max="14853" width="35.85546875" style="56" customWidth="1"/>
    <col min="14854" max="14854" width="24" style="56" customWidth="1"/>
    <col min="14855" max="14855" width="9.28515625" style="56" customWidth="1"/>
    <col min="14856" max="14856" width="9.5703125" style="56" customWidth="1"/>
    <col min="14857" max="15105" width="11.42578125" style="56"/>
    <col min="15106" max="15106" width="9.5703125" style="56" customWidth="1"/>
    <col min="15107" max="15107" width="5.42578125" style="56" customWidth="1"/>
    <col min="15108" max="15108" width="16.140625" style="56" customWidth="1"/>
    <col min="15109" max="15109" width="35.85546875" style="56" customWidth="1"/>
    <col min="15110" max="15110" width="24" style="56" customWidth="1"/>
    <col min="15111" max="15111" width="9.28515625" style="56" customWidth="1"/>
    <col min="15112" max="15112" width="9.5703125" style="56" customWidth="1"/>
    <col min="15113" max="15361" width="11.42578125" style="56"/>
    <col min="15362" max="15362" width="9.5703125" style="56" customWidth="1"/>
    <col min="15363" max="15363" width="5.42578125" style="56" customWidth="1"/>
    <col min="15364" max="15364" width="16.140625" style="56" customWidth="1"/>
    <col min="15365" max="15365" width="35.85546875" style="56" customWidth="1"/>
    <col min="15366" max="15366" width="24" style="56" customWidth="1"/>
    <col min="15367" max="15367" width="9.28515625" style="56" customWidth="1"/>
    <col min="15368" max="15368" width="9.5703125" style="56" customWidth="1"/>
    <col min="15369" max="15617" width="11.42578125" style="56"/>
    <col min="15618" max="15618" width="9.5703125" style="56" customWidth="1"/>
    <col min="15619" max="15619" width="5.42578125" style="56" customWidth="1"/>
    <col min="15620" max="15620" width="16.140625" style="56" customWidth="1"/>
    <col min="15621" max="15621" width="35.85546875" style="56" customWidth="1"/>
    <col min="15622" max="15622" width="24" style="56" customWidth="1"/>
    <col min="15623" max="15623" width="9.28515625" style="56" customWidth="1"/>
    <col min="15624" max="15624" width="9.5703125" style="56" customWidth="1"/>
    <col min="15625" max="15873" width="11.42578125" style="56"/>
    <col min="15874" max="15874" width="9.5703125" style="56" customWidth="1"/>
    <col min="15875" max="15875" width="5.42578125" style="56" customWidth="1"/>
    <col min="15876" max="15876" width="16.140625" style="56" customWidth="1"/>
    <col min="15877" max="15877" width="35.85546875" style="56" customWidth="1"/>
    <col min="15878" max="15878" width="24" style="56" customWidth="1"/>
    <col min="15879" max="15879" width="9.28515625" style="56" customWidth="1"/>
    <col min="15880" max="15880" width="9.5703125" style="56" customWidth="1"/>
    <col min="15881" max="16129" width="11.42578125" style="56"/>
    <col min="16130" max="16130" width="9.5703125" style="56" customWidth="1"/>
    <col min="16131" max="16131" width="5.42578125" style="56" customWidth="1"/>
    <col min="16132" max="16132" width="16.140625" style="56" customWidth="1"/>
    <col min="16133" max="16133" width="35.85546875" style="56" customWidth="1"/>
    <col min="16134" max="16134" width="24" style="56" customWidth="1"/>
    <col min="16135" max="16135" width="9.28515625" style="56" customWidth="1"/>
    <col min="16136" max="16136" width="9.5703125" style="56" customWidth="1"/>
    <col min="16137" max="16384" width="11.42578125" style="56"/>
  </cols>
  <sheetData>
    <row r="1" spans="2:9" ht="13.5" thickBot="1" x14ac:dyDescent="0.25"/>
    <row r="2" spans="2:9" ht="27.75" customHeight="1" x14ac:dyDescent="0.2">
      <c r="B2" s="390" t="s">
        <v>166</v>
      </c>
      <c r="C2" s="391"/>
      <c r="D2" s="392" t="s">
        <v>167</v>
      </c>
      <c r="E2" s="393"/>
      <c r="F2" s="391"/>
      <c r="G2" s="392"/>
      <c r="H2" s="394"/>
    </row>
    <row r="3" spans="2:9" ht="13.5" thickBot="1" x14ac:dyDescent="0.25">
      <c r="B3" s="395" t="s">
        <v>219</v>
      </c>
      <c r="C3" s="396"/>
      <c r="D3" s="397" t="s">
        <v>168</v>
      </c>
      <c r="E3" s="398"/>
      <c r="F3" s="396"/>
      <c r="G3" s="397" t="s">
        <v>220</v>
      </c>
      <c r="H3" s="399"/>
    </row>
    <row r="4" spans="2:9" ht="13.5" thickBot="1" x14ac:dyDescent="0.25">
      <c r="B4" s="101"/>
      <c r="H4" s="102"/>
    </row>
    <row r="5" spans="2:9" ht="13.5" thickBot="1" x14ac:dyDescent="0.25">
      <c r="B5" s="400" t="s">
        <v>169</v>
      </c>
      <c r="C5" s="401"/>
      <c r="D5" s="401"/>
      <c r="E5" s="401"/>
      <c r="F5" s="401"/>
      <c r="G5" s="401"/>
      <c r="H5" s="402"/>
    </row>
    <row r="6" spans="2:9" ht="13.5" thickBot="1" x14ac:dyDescent="0.25">
      <c r="B6" s="403" t="s">
        <v>170</v>
      </c>
      <c r="C6" s="404"/>
      <c r="D6" s="103" t="s">
        <v>171</v>
      </c>
      <c r="E6" s="104" t="s">
        <v>172</v>
      </c>
      <c r="F6" s="405" t="s">
        <v>173</v>
      </c>
      <c r="G6" s="406"/>
      <c r="H6" s="407"/>
    </row>
    <row r="7" spans="2:9" x14ac:dyDescent="0.2">
      <c r="B7" s="408">
        <v>2</v>
      </c>
      <c r="C7" s="409"/>
      <c r="D7" s="105" t="s">
        <v>174</v>
      </c>
      <c r="E7" s="105" t="s">
        <v>175</v>
      </c>
      <c r="F7" s="410" t="s">
        <v>176</v>
      </c>
      <c r="G7" s="411"/>
      <c r="H7" s="412"/>
    </row>
    <row r="8" spans="2:9" x14ac:dyDescent="0.2">
      <c r="B8" s="386">
        <v>3</v>
      </c>
      <c r="C8" s="387"/>
      <c r="D8" s="111">
        <v>44213</v>
      </c>
      <c r="E8" s="105" t="s">
        <v>175</v>
      </c>
      <c r="F8" s="388" t="s">
        <v>177</v>
      </c>
      <c r="G8" s="388"/>
      <c r="H8" s="389"/>
    </row>
    <row r="9" spans="2:9" ht="27.75" customHeight="1" x14ac:dyDescent="0.2">
      <c r="B9" s="386">
        <v>4</v>
      </c>
      <c r="C9" s="387"/>
      <c r="D9" s="111">
        <v>44622</v>
      </c>
      <c r="E9" s="105" t="s">
        <v>175</v>
      </c>
      <c r="F9" s="388" t="s">
        <v>217</v>
      </c>
      <c r="G9" s="388"/>
      <c r="H9" s="389"/>
      <c r="I9" s="107"/>
    </row>
    <row r="10" spans="2:9" x14ac:dyDescent="0.2">
      <c r="B10" s="386"/>
      <c r="C10" s="387"/>
      <c r="D10" s="106"/>
      <c r="E10" s="106"/>
      <c r="F10" s="388"/>
      <c r="G10" s="388"/>
      <c r="H10" s="389"/>
    </row>
    <row r="11" spans="2:9" x14ac:dyDescent="0.2">
      <c r="B11" s="386"/>
      <c r="C11" s="387"/>
      <c r="D11" s="106"/>
      <c r="E11" s="106"/>
      <c r="F11" s="388"/>
      <c r="G11" s="388"/>
      <c r="H11" s="389"/>
    </row>
    <row r="12" spans="2:9" x14ac:dyDescent="0.2">
      <c r="B12" s="386"/>
      <c r="C12" s="387"/>
      <c r="D12" s="106"/>
      <c r="E12" s="108"/>
      <c r="F12" s="388"/>
      <c r="G12" s="388"/>
      <c r="H12" s="389"/>
    </row>
    <row r="13" spans="2:9" x14ac:dyDescent="0.2">
      <c r="B13" s="386"/>
      <c r="C13" s="387"/>
      <c r="D13" s="106"/>
      <c r="E13" s="108"/>
      <c r="F13" s="388"/>
      <c r="G13" s="388"/>
      <c r="H13" s="389"/>
    </row>
    <row r="14" spans="2:9" x14ac:dyDescent="0.2">
      <c r="B14" s="386"/>
      <c r="C14" s="387"/>
      <c r="D14" s="106"/>
      <c r="E14" s="108"/>
      <c r="F14" s="388"/>
      <c r="G14" s="388"/>
      <c r="H14" s="389"/>
    </row>
    <row r="15" spans="2:9" x14ac:dyDescent="0.2">
      <c r="B15" s="386"/>
      <c r="C15" s="387"/>
      <c r="D15" s="106"/>
      <c r="E15" s="108"/>
      <c r="F15" s="388"/>
      <c r="G15" s="388"/>
      <c r="H15" s="389"/>
    </row>
    <row r="16" spans="2:9" x14ac:dyDescent="0.2">
      <c r="B16" s="386"/>
      <c r="C16" s="387"/>
      <c r="D16" s="106"/>
      <c r="E16" s="108"/>
      <c r="F16" s="388"/>
      <c r="G16" s="388"/>
      <c r="H16" s="389"/>
    </row>
    <row r="17" spans="2:8" x14ac:dyDescent="0.2">
      <c r="B17" s="386"/>
      <c r="C17" s="387"/>
      <c r="D17" s="106"/>
      <c r="E17" s="108"/>
      <c r="F17" s="388"/>
      <c r="G17" s="388"/>
      <c r="H17" s="389"/>
    </row>
    <row r="18" spans="2:8" ht="13.5" thickBot="1" x14ac:dyDescent="0.25">
      <c r="B18" s="382"/>
      <c r="C18" s="383"/>
      <c r="D18" s="109"/>
      <c r="E18" s="110"/>
      <c r="F18" s="384"/>
      <c r="G18" s="384"/>
      <c r="H18" s="385"/>
    </row>
  </sheetData>
  <mergeCells count="33">
    <mergeCell ref="B8:C8"/>
    <mergeCell ref="F8:H8"/>
    <mergeCell ref="B2:C2"/>
    <mergeCell ref="D2:F2"/>
    <mergeCell ref="G2:H2"/>
    <mergeCell ref="B3:C3"/>
    <mergeCell ref="D3:F3"/>
    <mergeCell ref="G3:H3"/>
    <mergeCell ref="B5:H5"/>
    <mergeCell ref="B6:C6"/>
    <mergeCell ref="F6:H6"/>
    <mergeCell ref="B7:C7"/>
    <mergeCell ref="F7:H7"/>
    <mergeCell ref="B9:C9"/>
    <mergeCell ref="F9:H9"/>
    <mergeCell ref="B10:C10"/>
    <mergeCell ref="F10:H10"/>
    <mergeCell ref="B11:C11"/>
    <mergeCell ref="F11:H11"/>
    <mergeCell ref="B12:C12"/>
    <mergeCell ref="F12:H12"/>
    <mergeCell ref="B13:C13"/>
    <mergeCell ref="F13:H13"/>
    <mergeCell ref="B14:C14"/>
    <mergeCell ref="F14:H14"/>
    <mergeCell ref="B18:C18"/>
    <mergeCell ref="F18:H18"/>
    <mergeCell ref="B15:C15"/>
    <mergeCell ref="F15:H15"/>
    <mergeCell ref="B16:C16"/>
    <mergeCell ref="F16:H16"/>
    <mergeCell ref="B17:C17"/>
    <mergeCell ref="F17:H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baseColWidth="10" defaultRowHeight="15" x14ac:dyDescent="0.25"/>
  <sheetData>
    <row r="2" spans="2:5" x14ac:dyDescent="0.25">
      <c r="B2" t="s">
        <v>30</v>
      </c>
      <c r="E2" t="s">
        <v>100</v>
      </c>
    </row>
    <row r="3" spans="2:5" x14ac:dyDescent="0.25">
      <c r="B3" t="s">
        <v>31</v>
      </c>
      <c r="E3" t="s">
        <v>99</v>
      </c>
    </row>
    <row r="4" spans="2:5" x14ac:dyDescent="0.25">
      <c r="B4" t="s">
        <v>104</v>
      </c>
      <c r="E4" t="s">
        <v>101</v>
      </c>
    </row>
    <row r="5" spans="2:5" x14ac:dyDescent="0.25">
      <c r="B5" t="s">
        <v>103</v>
      </c>
    </row>
    <row r="8" spans="2:5" x14ac:dyDescent="0.25">
      <c r="B8" t="s">
        <v>70</v>
      </c>
    </row>
    <row r="9" spans="2:5" x14ac:dyDescent="0.25">
      <c r="B9" t="s">
        <v>38</v>
      </c>
    </row>
    <row r="10" spans="2:5" x14ac:dyDescent="0.25">
      <c r="B10" t="s">
        <v>39</v>
      </c>
    </row>
    <row r="13" spans="2:5" x14ac:dyDescent="0.25">
      <c r="B13" t="s">
        <v>98</v>
      </c>
    </row>
    <row r="14" spans="2:5" x14ac:dyDescent="0.25">
      <c r="B14" t="s">
        <v>92</v>
      </c>
    </row>
    <row r="15" spans="2:5" x14ac:dyDescent="0.25">
      <c r="B15" t="s">
        <v>95</v>
      </c>
    </row>
    <row r="16" spans="2:5" x14ac:dyDescent="0.25">
      <c r="B16" t="s">
        <v>93</v>
      </c>
    </row>
    <row r="17" spans="2:2" x14ac:dyDescent="0.25">
      <c r="B17" t="s">
        <v>94</v>
      </c>
    </row>
    <row r="18" spans="2:2" x14ac:dyDescent="0.25">
      <c r="B18" t="s">
        <v>96</v>
      </c>
    </row>
    <row r="19" spans="2:2" x14ac:dyDescent="0.25">
      <c r="B19" t="s">
        <v>97</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13</v>
      </c>
    </row>
    <row r="4" spans="1:1" x14ac:dyDescent="0.2">
      <c r="A4" s="2" t="s">
        <v>14</v>
      </c>
    </row>
    <row r="5" spans="1:1" x14ac:dyDescent="0.2">
      <c r="A5" s="2" t="s">
        <v>15</v>
      </c>
    </row>
    <row r="6" spans="1:1" x14ac:dyDescent="0.2">
      <c r="A6" s="2" t="s">
        <v>9</v>
      </c>
    </row>
    <row r="7" spans="1:1" x14ac:dyDescent="0.2">
      <c r="A7" s="2" t="s">
        <v>8</v>
      </c>
    </row>
    <row r="8" spans="1:1" x14ac:dyDescent="0.2">
      <c r="A8" s="2" t="s">
        <v>18</v>
      </c>
    </row>
    <row r="9" spans="1:1" x14ac:dyDescent="0.2">
      <c r="A9" s="2" t="s">
        <v>19</v>
      </c>
    </row>
    <row r="10" spans="1:1" x14ac:dyDescent="0.2">
      <c r="A10" s="2" t="s">
        <v>21</v>
      </c>
    </row>
    <row r="11" spans="1:1" x14ac:dyDescent="0.2">
      <c r="A11" s="2" t="s">
        <v>22</v>
      </c>
    </row>
    <row r="12" spans="1:1" x14ac:dyDescent="0.2">
      <c r="A12" s="2" t="s">
        <v>24</v>
      </c>
    </row>
    <row r="13" spans="1:1" x14ac:dyDescent="0.2">
      <c r="A13" s="2" t="s">
        <v>25</v>
      </c>
    </row>
    <row r="14" spans="1:1" x14ac:dyDescent="0.2">
      <c r="A14" s="2" t="s">
        <v>26</v>
      </c>
    </row>
    <row r="16" spans="1:1" x14ac:dyDescent="0.2">
      <c r="A16" s="2" t="s">
        <v>29</v>
      </c>
    </row>
    <row r="17" spans="1:1" x14ac:dyDescent="0.2">
      <c r="A17" s="2" t="s">
        <v>30</v>
      </c>
    </row>
    <row r="18" spans="1:1" x14ac:dyDescent="0.2">
      <c r="A18" s="2" t="s">
        <v>31</v>
      </c>
    </row>
    <row r="20" spans="1:1" x14ac:dyDescent="0.2">
      <c r="A20" s="2" t="s">
        <v>38</v>
      </c>
    </row>
    <row r="21" spans="1:1" x14ac:dyDescent="0.2">
      <c r="A21" s="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Hoja2</vt:lpstr>
      <vt:lpstr>Intructivo</vt:lpstr>
      <vt:lpstr>Mapa final</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CIRUGIA06 CIR06. CIRUGIA06</cp:lastModifiedBy>
  <cp:lastPrinted>2020-05-13T01:12:22Z</cp:lastPrinted>
  <dcterms:created xsi:type="dcterms:W3CDTF">2020-03-24T23:12:47Z</dcterms:created>
  <dcterms:modified xsi:type="dcterms:W3CDTF">2023-03-31T19:51:27Z</dcterms:modified>
</cp:coreProperties>
</file>